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bccabdem\Downloads\"/>
    </mc:Choice>
  </mc:AlternateContent>
  <xr:revisionPtr revIDLastSave="0" documentId="8_{DAA615F2-944E-460B-BCD8-1CAE17925116}" xr6:coauthVersionLast="47" xr6:coauthVersionMax="47" xr10:uidLastSave="{00000000-0000-0000-0000-000000000000}"/>
  <bookViews>
    <workbookView xWindow="0" yWindow="0" windowWidth="19200" windowHeight="10080" activeTab="1" xr2:uid="{00000000-000D-0000-FFFF-FFFF00000000}"/>
  </bookViews>
  <sheets>
    <sheet name="1. Checklist" sheetId="16" r:id="rId1"/>
    <sheet name="2. CFR Return" sheetId="1" r:id="rId2"/>
    <sheet name="Sheet1" sheetId="23" state="hidden" r:id="rId3"/>
    <sheet name="S Budget" sheetId="15" state="hidden" r:id="rId4"/>
    <sheet name="Payments" sheetId="8" state="hidden" r:id="rId5"/>
    <sheet name="Lookup" sheetId="7" state="hidden" r:id="rId6"/>
    <sheet name="YTD" sheetId="12" state="hidden" r:id="rId7"/>
    <sheet name="% Budget Variance" sheetId="9" state="hidden" r:id="rId8"/>
    <sheet name="Forecast" sheetId="10" state="hidden" r:id="rId9"/>
    <sheet name="Outturn" sheetId="11" state="hidden" r:id="rId10"/>
    <sheet name="Outturn 2024-25" sheetId="22" state="hidden" r:id="rId11"/>
    <sheet name="Summary" sheetId="28" state="hidden" r:id="rId12"/>
    <sheet name="Variance" sheetId="21" state="hidden" r:id="rId13"/>
    <sheet name="Cash Advances" sheetId="31" state="hidden" r:id="rId14"/>
    <sheet name="3. Establishment" sheetId="24" r:id="rId15"/>
    <sheet name="4. Schools System Report" sheetId="26" r:id="rId16"/>
    <sheet name="Example 1" sheetId="29" r:id="rId17"/>
    <sheet name="Example 2" sheetId="30" r:id="rId18"/>
    <sheet name="Bank clearing" sheetId="5" state="hidden" r:id="rId19"/>
  </sheets>
  <definedNames>
    <definedName name="_xlnm._FilterDatabase" localSheetId="13" hidden="1">'Cash Advances'!$A$4:$AA$204</definedName>
    <definedName name="_xlnm._FilterDatabase" localSheetId="5" hidden="1">Lookup!$A$1:$D$201</definedName>
    <definedName name="_xlnm._FilterDatabase" localSheetId="10" hidden="1">'Outturn 2024-25'!#REF!</definedName>
    <definedName name="_xlnm._FilterDatabase" localSheetId="4" hidden="1">Payments!$A$7:$G$209</definedName>
    <definedName name="_xlnm._FilterDatabase" localSheetId="11" hidden="1">Summary!$A$41:$A$50</definedName>
    <definedName name="aaa">#REF!</definedName>
    <definedName name="abcde">#REF!</definedName>
    <definedName name="Accrual" localSheetId="14">#REF!</definedName>
    <definedName name="Accrual">#REF!</definedName>
    <definedName name="Accrualsrevised">#REF!</definedName>
    <definedName name="Adjustment">#REF!</definedName>
    <definedName name="Adjustments_To_1415_SBS">#REF!</definedName>
    <definedName name="Adjustments_To_1516_SBS">#REF!</definedName>
    <definedName name="Adjustments_To_PY_SBS">#REF!</definedName>
    <definedName name="agrclient">#REF!</definedName>
    <definedName name="All_dist_taper">#REF!</definedName>
    <definedName name="All_distance_threshold">#REF!</definedName>
    <definedName name="All_PupilNo_threshold">#REF!</definedName>
    <definedName name="Alt_Gains_Cap">#REF!</definedName>
    <definedName name="anteprevious_year">#REF!</definedName>
    <definedName name="APRIL">#REF!</definedName>
    <definedName name="AUGUST">#REF!</definedName>
    <definedName name="AWPU_KS3_Rate">#REF!</definedName>
    <definedName name="AWPU_KS4_Rate">#REF!</definedName>
    <definedName name="AWPU_Pri_Rate">#REF!</definedName>
    <definedName name="AWPU_Primary_DD_rate">#REF!</definedName>
    <definedName name="AWPU_Sec_DD_rate">#REF!</definedName>
    <definedName name="BalanceSheet">#REF!</definedName>
    <definedName name="BANK">#REF!</definedName>
    <definedName name="BlockTransfersDSGSchoolsBlock">#REF!</definedName>
    <definedName name="BUDGET">#REF!</definedName>
    <definedName name="BUDGET94">#REF!</definedName>
    <definedName name="Capping_Scaling_YesNo">#REF!</definedName>
    <definedName name="CCtr">#REF!</definedName>
    <definedName name="Cdmndr">#REF!</definedName>
    <definedName name="Ceiling">#REF!</definedName>
    <definedName name="column">#REF!</definedName>
    <definedName name="CommentaryAdditionalFundingFromHN">#REF!</definedName>
    <definedName name="CommentaryFallingRollsFund">#REF!</definedName>
    <definedName name="CommentaryGrowth">#REF!</definedName>
    <definedName name="CommentaryPFI">#REF!</definedName>
    <definedName name="CostCentre">#REF!</definedName>
    <definedName name="Creditors">#REF!</definedName>
    <definedName name="current_year">#REF!</definedName>
    <definedName name="current_year_full">#REF!</definedName>
    <definedName name="CY_MFG_Exclusion_Totals">#REF!</definedName>
    <definedName name="Debtors">#REF!</definedName>
    <definedName name="DECEMBER">#REF!</definedName>
    <definedName name="dsource">#REF!</definedName>
    <definedName name="EAL_Pri">#REF!</definedName>
    <definedName name="EAL_Pri_DD_rate">#REF!</definedName>
    <definedName name="EAL_Pri_Option">#REF!</definedName>
    <definedName name="EAL_Sec">#REF!</definedName>
    <definedName name="EAL_Sec_DD_rate">#REF!</definedName>
    <definedName name="EAL_Sec_Option">#REF!</definedName>
    <definedName name="EarlyYears">#REF!</definedName>
    <definedName name="Ever6_Pri_DD_Rate">#REF!</definedName>
    <definedName name="Ever6_pri_rate">#REF!</definedName>
    <definedName name="Ever6_Sec_DD_Rate">#REF!</definedName>
    <definedName name="Ever6_sec_rate">#REF!</definedName>
    <definedName name="Exc_Cir1_Total">#REF!</definedName>
    <definedName name="Exc_Cir2_Total">#REF!</definedName>
    <definedName name="Exc_Cir3_Total">#REF!</definedName>
    <definedName name="Exc_Cir4_Total">#REF!</definedName>
    <definedName name="Exc_Cir5_Total">#REF!</definedName>
    <definedName name="Exc_Cir6_Total">#REF!</definedName>
    <definedName name="Exc_Cir7_Total">#REF!</definedName>
    <definedName name="Excel_BuiltIn__FilterDatabase_3">"['Maintained Schools'.$A$1:.$H$11636]"</definedName>
    <definedName name="Excel_BuiltIn__FilterDatabase_4">"[Academies.$A$1:.$H$6222]"</definedName>
    <definedName name="Excel_BuiltIn__FilterDatabase_5">"[NMSS.$A$1:.$H$56]"</definedName>
    <definedName name="FEBRUARY">#REF!</definedName>
    <definedName name="File_Name">#REF!</definedName>
    <definedName name="File_Type">#REF!</definedName>
    <definedName name="Fringe_multiplier">#REF!</definedName>
    <definedName name="Fringe_Total">#REF!</definedName>
    <definedName name="FSM_Pri_DD_rate">#REF!</definedName>
    <definedName name="FSM_Pri_Option">#REF!</definedName>
    <definedName name="FSM_Pri_Rate">#REF!</definedName>
    <definedName name="FSM_Pri_Rate_2">#REF!</definedName>
    <definedName name="FSM_Sec_DD_rate">#REF!</definedName>
    <definedName name="FSM_Sec_Option">#REF!</definedName>
    <definedName name="FSM_Sec_Rate">#REF!</definedName>
    <definedName name="Funding_Floor">#REF!</definedName>
    <definedName name="Funding_Floor_Adjustment">#REF!</definedName>
    <definedName name="gfd">#REF!</definedName>
    <definedName name="glpage1">#REF!</definedName>
    <definedName name="glpage2">#REF!</definedName>
    <definedName name="glsum">#REF!</definedName>
    <definedName name="growthfunding">#REF!</definedName>
    <definedName name="IA_amalgamation">#REF!</definedName>
    <definedName name="IA_closed_preApril">#REF!</definedName>
    <definedName name="IA_conversion">#REF!</definedName>
    <definedName name="IA_new_free_school">#REF!</definedName>
    <definedName name="IA_NOR_change">#REF!</definedName>
    <definedName name="IA_open_postApril">#REF!</definedName>
    <definedName name="IA_open_preApril">#REF!</definedName>
    <definedName name="IDACI_B1_Pri">#REF!</definedName>
    <definedName name="IDACI_B1_Pri_DD_rate">#REF!</definedName>
    <definedName name="IDACI_B1_Sec">#REF!</definedName>
    <definedName name="IDACI_B1_Sec_DD_rate">#REF!</definedName>
    <definedName name="IDACI_B2_Pri">#REF!</definedName>
    <definedName name="IDACI_B2_Pri_DD_rate">#REF!</definedName>
    <definedName name="IDACI_B2_Sec">#REF!</definedName>
    <definedName name="IDACI_B2_Sec_DD_rate">#REF!</definedName>
    <definedName name="IDACI_B3_Pri">#REF!</definedName>
    <definedName name="IDACI_B3_Pri_DD_rate">#REF!</definedName>
    <definedName name="IDACI_B3_Sec">#REF!</definedName>
    <definedName name="IDACI_B3_Sec_DD_rate">#REF!</definedName>
    <definedName name="IDACI_B4_Pri">#REF!</definedName>
    <definedName name="IDACI_B4_Pri_DD_rate">#REF!</definedName>
    <definedName name="IDACI_B4_Sec">#REF!</definedName>
    <definedName name="IDACI_B4_Sec_DD_rate">#REF!</definedName>
    <definedName name="IDACI_B5_Pri">#REF!</definedName>
    <definedName name="IDACI_B5_Pri_DD_rate">#REF!</definedName>
    <definedName name="IDACI_B5_Sec">#REF!</definedName>
    <definedName name="IDACI_B5_Sec_DD_rate">#REF!</definedName>
    <definedName name="IDACI_B6_Pri">#REF!</definedName>
    <definedName name="IDACI_B6_Pri_DD_rate">#REF!</definedName>
    <definedName name="IDACI_B6_Sec">#REF!</definedName>
    <definedName name="IDACI_B6_Sec_DD_rate">#REF!</definedName>
    <definedName name="INCOME">#REF!</definedName>
    <definedName name="Income_in_advance">#REF!</definedName>
    <definedName name="INCOME94">#REF!</definedName>
    <definedName name="JANUARY">#REF!</definedName>
    <definedName name="JULY">#REF!</definedName>
    <definedName name="JUNE">#REF!</definedName>
    <definedName name="LA_Code">#REF!</definedName>
    <definedName name="LA_Name">#REF!</definedName>
    <definedName name="LAC_Pri_DD_rate">#REF!</definedName>
    <definedName name="LAC_Rate">#REF!</definedName>
    <definedName name="LAC_Sec_DD_rate">#REF!</definedName>
    <definedName name="LCHI_Pri">#REF!</definedName>
    <definedName name="LCHI_Pri_DD_rate">#REF!</definedName>
    <definedName name="LCHI_Pri_Option">#REF!</definedName>
    <definedName name="LCHI_Sec">#REF!</definedName>
    <definedName name="LCHI_Sec_DD_rate">#REF!</definedName>
    <definedName name="Lump_sum_Pri_DD_rate">#REF!</definedName>
    <definedName name="Lump_sum_Sec_DD_rate">#REF!</definedName>
    <definedName name="Lump_Sum_total">#REF!</definedName>
    <definedName name="MARCH">#REF!</definedName>
    <definedName name="MAY">#REF!</definedName>
    <definedName name="MFG_Rate">#REF!</definedName>
    <definedName name="MFG_Total">#REF!</definedName>
    <definedName name="Mid_dist_taper">#REF!</definedName>
    <definedName name="Mid_distance_threshold">#REF!</definedName>
    <definedName name="Mid_PupilNo_threshold">#REF!</definedName>
    <definedName name="min_pupil_rate_KS3">#REF!</definedName>
    <definedName name="min_pupil_rate_KS4">#REF!</definedName>
    <definedName name="min_pupil_rate_pri">#REF!</definedName>
    <definedName name="min_pupil_rate_sec">#REF!</definedName>
    <definedName name="Mobility_Pri">#REF!</definedName>
    <definedName name="Mobility_Pri_DD_Rate">#REF!</definedName>
    <definedName name="Mobility_Sec">#REF!</definedName>
    <definedName name="Mobility_Sec_DD_Rate">#REF!</definedName>
    <definedName name="mppf_pri">#REF!</definedName>
    <definedName name="mppf_sec">#REF!</definedName>
    <definedName name="Notional_SEN_AWPU_KS3">#REF!</definedName>
    <definedName name="Notional_SEN_AWPU_KS4">#REF!</definedName>
    <definedName name="Notional_SEN_AWPU_Pri">#REF!</definedName>
    <definedName name="Notional_SEN_EAL_Pri">#REF!</definedName>
    <definedName name="Notional_SEN_EAL_Sec">#REF!</definedName>
    <definedName name="Notional_SEN_Ever6_Pri">#REF!</definedName>
    <definedName name="Notional_SEN_Ever6_Sec">#REF!</definedName>
    <definedName name="Notional_SEN_ExCir2">#REF!</definedName>
    <definedName name="Notional_SEN_ExCir3">#REF!</definedName>
    <definedName name="Notional_SEN_ExCir4">#REF!</definedName>
    <definedName name="Notional_SEN_ExCir5">#REF!</definedName>
    <definedName name="Notional_SEN_ExCir6">#REF!</definedName>
    <definedName name="Notional_SEN_ExCir7">#REF!</definedName>
    <definedName name="Notional_SEN_FF">#REF!</definedName>
    <definedName name="Notional_SEN_FSM_Pri">#REF!</definedName>
    <definedName name="Notional_SEN_FSM_Sec">#REF!</definedName>
    <definedName name="Notional_SEN_IDACI_B1_Pri">#REF!</definedName>
    <definedName name="Notional_SEN_IDACI_B1_Sec">#REF!</definedName>
    <definedName name="Notional_SEN_IDACI_B2_Pri">#REF!</definedName>
    <definedName name="Notional_SEN_IDACI_B2_Sec">#REF!</definedName>
    <definedName name="Notional_SEN_IDACI_B3_Pri">#REF!</definedName>
    <definedName name="Notional_SEN_IDACI_B3_Sec">#REF!</definedName>
    <definedName name="Notional_SEN_IDACI_B4_Pri">#REF!</definedName>
    <definedName name="Notional_SEN_IDACI_B4_Sec">#REF!</definedName>
    <definedName name="Notional_SEN_IDACI_B5_Pri">#REF!</definedName>
    <definedName name="Notional_SEN_IDACI_B5_Sec">#REF!</definedName>
    <definedName name="Notional_SEN_IDACI_B6_Pri">#REF!</definedName>
    <definedName name="Notional_SEN_IDACI_B6_Sec">#REF!</definedName>
    <definedName name="Notional_SEN_LAC">#REF!</definedName>
    <definedName name="Notional_SEN_LCHI_Pri">#REF!</definedName>
    <definedName name="Notional_SEN_LCHI_Sec">#REF!</definedName>
    <definedName name="Notional_SEN_Lump_sum_Pri">#REF!</definedName>
    <definedName name="Notional_SEN_Lump_sum_Sec">#REF!</definedName>
    <definedName name="Notional_SEN_MFG">#REF!</definedName>
    <definedName name="Notional_SEN_Mobility_Pri">#REF!</definedName>
    <definedName name="Notional_SEN_Mobility_Sec">#REF!</definedName>
    <definedName name="Notional_SEN_MPPF">#REF!</definedName>
    <definedName name="Notional_SEN_PFI">#REF!</definedName>
    <definedName name="Notional_SEN_Rates">#REF!</definedName>
    <definedName name="Notional_SEN_SixthForm">#REF!</definedName>
    <definedName name="Notional_SEN_Sparsity_Pri">#REF!</definedName>
    <definedName name="Notional_SEN_Sparsity_Sec">#REF!</definedName>
    <definedName name="Notional_SEN_Split_sites">#REF!</definedName>
    <definedName name="NOVEMBER">#REF!</definedName>
    <definedName name="OCTOBER">#REF!</definedName>
    <definedName name="part">#REF!</definedName>
    <definedName name="Payment_in_advance">#REF!</definedName>
    <definedName name="PFI_Total">#REF!</definedName>
    <definedName name="previous_year">#REF!</definedName>
    <definedName name="previous_year_full">#REF!</definedName>
    <definedName name="Pri_dist_taper">#REF!</definedName>
    <definedName name="Pri_distance_threshold">#REF!</definedName>
    <definedName name="Pri_PupilNo_threshold">#REF!</definedName>
    <definedName name="Primary_Lump_sum">#REF!</definedName>
    <definedName name="_xlnm.Print_Area" localSheetId="11">Summary!$A$3:$W$126</definedName>
    <definedName name="Private">#REF!</definedName>
    <definedName name="ProformaAdditionalFundingFromHN">#REF!</definedName>
    <definedName name="ProformaExceptionalCircumstanceTotals">#REF!</definedName>
    <definedName name="ProformaFallingRollsFund">#REF!</definedName>
    <definedName name="ProformaGrowthFund">#REF!</definedName>
    <definedName name="ProformaHNThreshold">#REF!</definedName>
    <definedName name="PupilPremium">#REF!</definedName>
    <definedName name="PY_MFG_Exclusion_Totals">#REF!</definedName>
    <definedName name="Quarter">#REF!</definedName>
    <definedName name="Rates_Total">#REF!</definedName>
    <definedName name="Reasons_list">#REF!</definedName>
    <definedName name="Reception_Uplift_YesNo">#REF!</definedName>
    <definedName name="revbudg">#REF!</definedName>
    <definedName name="row">#REF!</definedName>
    <definedName name="Scaling_Factor">#REF!</definedName>
    <definedName name="School">#REF!</definedName>
    <definedName name="School_list">#REF!</definedName>
    <definedName name="School_Name">#REF!</definedName>
    <definedName name="Schools">#REF!</definedName>
    <definedName name="Schoolsreference2">#REF!</definedName>
    <definedName name="Sec_dist_taper">#REF!</definedName>
    <definedName name="Sec_distance_threshold">#REF!</definedName>
    <definedName name="Sec_PupilNo_threshold">#REF!</definedName>
    <definedName name="Secondary_Lump_Sum">#REF!</definedName>
    <definedName name="SEPTEMBER">#REF!</definedName>
    <definedName name="Sheet_Name">#REF!</definedName>
    <definedName name="Sixth_Form_Total">#REF!</definedName>
    <definedName name="Sparsity_All_lump_sum">#REF!</definedName>
    <definedName name="Sparsity_Mid_lump_sum">#REF!</definedName>
    <definedName name="Sparsity_Pri_DD_percentage">#REF!</definedName>
    <definedName name="Sparsity_Pri_lump_sum">#REF!</definedName>
    <definedName name="Sparsity_Sec_DD_percentage">#REF!</definedName>
    <definedName name="Sparsity_Sec_lump_sum">#REF!</definedName>
    <definedName name="Sparsity_Total">#REF!</definedName>
    <definedName name="Split_sites_distance_rate">#REF!</definedName>
    <definedName name="Split_sites_lump_sum">#REF!</definedName>
    <definedName name="Split_Sites_Total">#REF!</definedName>
    <definedName name="table">#REF!</definedName>
    <definedName name="Tapered_all_lump_sum">#REF!</definedName>
    <definedName name="Tapered_mid_lump_sum">#REF!</definedName>
    <definedName name="Tapered_primary_lump_sum">#REF!</definedName>
    <definedName name="Tapered_secondary_lump_sum">#REF!</definedName>
    <definedName name="tm1\\_0_C">#REF!</definedName>
    <definedName name="tm1\\_0_H">"{ ""server"" : ""https://paw.oscar.hmt.gov.uk/"", ""cube"" : ""{ \""server\"" : \""oscar_prd\"", \""cube\"" : \""}ElementAttributes_cpid_wga\""}""}"</definedName>
    <definedName name="tm1\\_0_R">#REF!</definedName>
    <definedName name="tm1\\_0_S">#REF!</definedName>
    <definedName name="TopRankDefaultDistForRange" hidden="1">0</definedName>
    <definedName name="TopRankDefaultMaxChange" hidden="1">0.1</definedName>
    <definedName name="TopRankDefaultMin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"Active Workbook"</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Total_Notional_SEN">#REF!</definedName>
    <definedName name="Total_Primary_funding">#REF!</definedName>
    <definedName name="Total_Secondary_Funding">#REF!</definedName>
    <definedName name="ValidationList1">#REF!</definedName>
    <definedName name="ValidationList2">#REF!</definedName>
    <definedName name="Vol">#REF!</definedName>
    <definedName name="WorkingBudget">#REF!</definedName>
    <definedName name="Yes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Z7" i="12" l="1"/>
  <c r="K81" i="1"/>
  <c r="L87" i="1" l="1"/>
  <c r="L88" i="1"/>
  <c r="L89" i="1"/>
  <c r="L90" i="1"/>
  <c r="AA17" i="31"/>
  <c r="Z207" i="31"/>
  <c r="Y207" i="31"/>
  <c r="X207" i="31"/>
  <c r="W207" i="31"/>
  <c r="V207" i="31"/>
  <c r="U207" i="31"/>
  <c r="T207" i="31"/>
  <c r="S207" i="31"/>
  <c r="R207" i="31"/>
  <c r="Q207" i="31"/>
  <c r="O207" i="31"/>
  <c r="J207" i="31"/>
  <c r="I207" i="31"/>
  <c r="K205" i="31"/>
  <c r="AA204" i="31"/>
  <c r="K204" i="31"/>
  <c r="AA203" i="31"/>
  <c r="K203" i="31"/>
  <c r="AA202" i="31"/>
  <c r="K202" i="31"/>
  <c r="AA201" i="31"/>
  <c r="K201" i="31"/>
  <c r="K200" i="31"/>
  <c r="M200" i="31" s="1"/>
  <c r="AA200" i="31" s="1"/>
  <c r="AA199" i="31"/>
  <c r="K199" i="31"/>
  <c r="AA198" i="31"/>
  <c r="K198" i="31"/>
  <c r="AA197" i="31"/>
  <c r="K197" i="31"/>
  <c r="AA196" i="31"/>
  <c r="K196" i="31"/>
  <c r="AA195" i="31"/>
  <c r="K195" i="31"/>
  <c r="AA194" i="31"/>
  <c r="K194" i="31"/>
  <c r="AA193" i="31"/>
  <c r="K193" i="31"/>
  <c r="AA192" i="31"/>
  <c r="K192" i="31"/>
  <c r="AA191" i="31"/>
  <c r="K191" i="31"/>
  <c r="AA190" i="31"/>
  <c r="K190" i="31"/>
  <c r="AA189" i="31"/>
  <c r="K189" i="31"/>
  <c r="AA188" i="31"/>
  <c r="K188" i="31"/>
  <c r="AA187" i="31"/>
  <c r="K187" i="31"/>
  <c r="AA186" i="31"/>
  <c r="K186" i="31"/>
  <c r="P207" i="31"/>
  <c r="K185" i="31"/>
  <c r="M185" i="31" s="1"/>
  <c r="AA184" i="31"/>
  <c r="K184" i="31"/>
  <c r="AA183" i="31"/>
  <c r="K183" i="31"/>
  <c r="AA182" i="31"/>
  <c r="K182" i="31"/>
  <c r="AA181" i="31"/>
  <c r="K181" i="31"/>
  <c r="AA180" i="31"/>
  <c r="K180" i="31"/>
  <c r="AA179" i="31"/>
  <c r="K179" i="31"/>
  <c r="AA178" i="31"/>
  <c r="K178" i="31"/>
  <c r="AA177" i="31"/>
  <c r="K177" i="31"/>
  <c r="AA176" i="31"/>
  <c r="K176" i="31"/>
  <c r="AA175" i="31"/>
  <c r="K175" i="31"/>
  <c r="AA174" i="31"/>
  <c r="K174" i="31"/>
  <c r="AA173" i="31"/>
  <c r="K173" i="31"/>
  <c r="AA172" i="31"/>
  <c r="K172" i="31"/>
  <c r="AA171" i="31"/>
  <c r="K171" i="31"/>
  <c r="AA170" i="31"/>
  <c r="K170" i="31"/>
  <c r="AA169" i="31"/>
  <c r="K169" i="31"/>
  <c r="AA168" i="31"/>
  <c r="K168" i="31"/>
  <c r="AA167" i="31"/>
  <c r="K167" i="31"/>
  <c r="AA166" i="31"/>
  <c r="K166" i="31"/>
  <c r="AA165" i="31"/>
  <c r="K165" i="31"/>
  <c r="AA164" i="31"/>
  <c r="K164" i="31"/>
  <c r="AA163" i="31"/>
  <c r="K163" i="31"/>
  <c r="AA162" i="31"/>
  <c r="K162" i="31"/>
  <c r="AA161" i="31"/>
  <c r="K161" i="31"/>
  <c r="AA160" i="31"/>
  <c r="K160" i="31"/>
  <c r="AA159" i="31"/>
  <c r="K159" i="31"/>
  <c r="AA158" i="31"/>
  <c r="K158" i="31"/>
  <c r="AA157" i="31"/>
  <c r="K157" i="31"/>
  <c r="AA156" i="31"/>
  <c r="K156" i="31"/>
  <c r="AA155" i="31"/>
  <c r="K155" i="31"/>
  <c r="AA154" i="31"/>
  <c r="K154" i="31"/>
  <c r="AA153" i="31"/>
  <c r="K153" i="31"/>
  <c r="AA152" i="31"/>
  <c r="K152" i="31"/>
  <c r="AA151" i="31"/>
  <c r="K151" i="31"/>
  <c r="AA150" i="31"/>
  <c r="K150" i="31"/>
  <c r="AA149" i="31"/>
  <c r="K149" i="31"/>
  <c r="AA148" i="31"/>
  <c r="K148" i="31"/>
  <c r="AA147" i="31"/>
  <c r="K147" i="31"/>
  <c r="AA146" i="31"/>
  <c r="K146" i="31"/>
  <c r="AA145" i="31"/>
  <c r="K145" i="31"/>
  <c r="AA144" i="31"/>
  <c r="K144" i="31"/>
  <c r="AA143" i="31"/>
  <c r="K143" i="31"/>
  <c r="AA142" i="31"/>
  <c r="K142" i="31"/>
  <c r="AA141" i="31"/>
  <c r="K141" i="31"/>
  <c r="AA140" i="31"/>
  <c r="K140" i="31"/>
  <c r="AA139" i="31"/>
  <c r="K139" i="31"/>
  <c r="AA138" i="31"/>
  <c r="K138" i="31"/>
  <c r="AA137" i="31"/>
  <c r="K137" i="31"/>
  <c r="AA136" i="31"/>
  <c r="K136" i="31"/>
  <c r="AA135" i="31"/>
  <c r="K135" i="31"/>
  <c r="AA134" i="31"/>
  <c r="K134" i="31"/>
  <c r="AA133" i="31"/>
  <c r="K133" i="31"/>
  <c r="AA132" i="31"/>
  <c r="K132" i="31"/>
  <c r="AA131" i="31"/>
  <c r="K131" i="31"/>
  <c r="AA130" i="31"/>
  <c r="K130" i="31"/>
  <c r="AA129" i="31"/>
  <c r="K129" i="31"/>
  <c r="AA128" i="31"/>
  <c r="K128" i="31"/>
  <c r="AA127" i="31"/>
  <c r="K127" i="31"/>
  <c r="AA126" i="31"/>
  <c r="K126" i="31"/>
  <c r="AA125" i="31"/>
  <c r="K125" i="31"/>
  <c r="AA124" i="31"/>
  <c r="K124" i="31"/>
  <c r="AA123" i="31"/>
  <c r="K123" i="31"/>
  <c r="AA122" i="31"/>
  <c r="K122" i="31"/>
  <c r="AA121" i="31"/>
  <c r="K121" i="31"/>
  <c r="AA120" i="31"/>
  <c r="K120" i="31"/>
  <c r="AA119" i="31"/>
  <c r="K119" i="31"/>
  <c r="AA118" i="31"/>
  <c r="K118" i="31"/>
  <c r="AA117" i="31"/>
  <c r="K117" i="31"/>
  <c r="AA116" i="31"/>
  <c r="K116" i="31"/>
  <c r="AA115" i="31"/>
  <c r="K115" i="31"/>
  <c r="AA114" i="31"/>
  <c r="K114" i="31"/>
  <c r="AA113" i="31"/>
  <c r="K113" i="31"/>
  <c r="AA112" i="31"/>
  <c r="K112" i="31"/>
  <c r="AA111" i="31"/>
  <c r="K111" i="31"/>
  <c r="AA110" i="31"/>
  <c r="K110" i="31"/>
  <c r="AA109" i="31"/>
  <c r="K109" i="31"/>
  <c r="AA108" i="31"/>
  <c r="K108" i="31"/>
  <c r="AA107" i="31"/>
  <c r="K107" i="31"/>
  <c r="AA106" i="31"/>
  <c r="K106" i="31"/>
  <c r="AA105" i="31"/>
  <c r="K105" i="31"/>
  <c r="AA104" i="31"/>
  <c r="K104" i="31"/>
  <c r="AA103" i="31"/>
  <c r="K103" i="31"/>
  <c r="AA102" i="31"/>
  <c r="K102" i="31"/>
  <c r="AA101" i="31"/>
  <c r="K101" i="31"/>
  <c r="AA100" i="31"/>
  <c r="K100" i="31"/>
  <c r="AA99" i="31"/>
  <c r="K99" i="31"/>
  <c r="AA98" i="31"/>
  <c r="K98" i="31"/>
  <c r="AA97" i="31"/>
  <c r="K97" i="31"/>
  <c r="AA96" i="31"/>
  <c r="K96" i="31"/>
  <c r="AA95" i="31"/>
  <c r="K95" i="31"/>
  <c r="AA94" i="31"/>
  <c r="K94" i="31"/>
  <c r="AA93" i="31"/>
  <c r="K93" i="31"/>
  <c r="AA92" i="31"/>
  <c r="K92" i="31"/>
  <c r="AA91" i="31"/>
  <c r="K91" i="31"/>
  <c r="AA90" i="31"/>
  <c r="K90" i="31"/>
  <c r="AA89" i="31"/>
  <c r="K89" i="31"/>
  <c r="AA88" i="31"/>
  <c r="K88" i="31"/>
  <c r="AA87" i="31"/>
  <c r="K87" i="31"/>
  <c r="AA86" i="31"/>
  <c r="K86" i="31"/>
  <c r="AA85" i="31"/>
  <c r="K85" i="31"/>
  <c r="AA84" i="31"/>
  <c r="K84" i="31"/>
  <c r="AA83" i="31"/>
  <c r="K83" i="31"/>
  <c r="AA82" i="31"/>
  <c r="K82" i="31"/>
  <c r="AA81" i="31"/>
  <c r="K81" i="31"/>
  <c r="AA80" i="31"/>
  <c r="K80" i="31"/>
  <c r="AA79" i="31"/>
  <c r="K79" i="31"/>
  <c r="AA78" i="31"/>
  <c r="K78" i="31"/>
  <c r="AA77" i="31"/>
  <c r="K77" i="31"/>
  <c r="AA76" i="31"/>
  <c r="K76" i="31"/>
  <c r="AA75" i="31"/>
  <c r="K75" i="31"/>
  <c r="AA74" i="31"/>
  <c r="K74" i="31"/>
  <c r="AA73" i="31"/>
  <c r="K73" i="31"/>
  <c r="AA72" i="31"/>
  <c r="K72" i="31"/>
  <c r="AA71" i="31"/>
  <c r="K71" i="31"/>
  <c r="AA70" i="31"/>
  <c r="K70" i="31"/>
  <c r="AA69" i="31"/>
  <c r="K69" i="31"/>
  <c r="AA68" i="31"/>
  <c r="K68" i="31"/>
  <c r="AA67" i="31"/>
  <c r="K67" i="31"/>
  <c r="AA66" i="31"/>
  <c r="K66" i="31"/>
  <c r="AA65" i="31"/>
  <c r="K65" i="31"/>
  <c r="AA64" i="31"/>
  <c r="K64" i="31"/>
  <c r="AA63" i="31"/>
  <c r="K63" i="31"/>
  <c r="AA62" i="31"/>
  <c r="K62" i="31"/>
  <c r="AA61" i="31"/>
  <c r="K61" i="31"/>
  <c r="AA60" i="31"/>
  <c r="K60" i="31"/>
  <c r="AA59" i="31"/>
  <c r="K59" i="31"/>
  <c r="AA58" i="31"/>
  <c r="K58" i="31"/>
  <c r="AA57" i="31"/>
  <c r="K57" i="31"/>
  <c r="AA56" i="31"/>
  <c r="K56" i="31"/>
  <c r="AA55" i="31"/>
  <c r="K55" i="31"/>
  <c r="AA54" i="31"/>
  <c r="K54" i="31"/>
  <c r="AA53" i="31"/>
  <c r="K53" i="31"/>
  <c r="AA52" i="31"/>
  <c r="K52" i="31"/>
  <c r="AA51" i="31"/>
  <c r="K51" i="31"/>
  <c r="AA50" i="31"/>
  <c r="K50" i="31"/>
  <c r="AA49" i="31"/>
  <c r="K49" i="31"/>
  <c r="AA48" i="31"/>
  <c r="K48" i="31"/>
  <c r="AA47" i="31"/>
  <c r="K47" i="31"/>
  <c r="AA46" i="31"/>
  <c r="K46" i="31"/>
  <c r="AA45" i="31"/>
  <c r="K45" i="31"/>
  <c r="AA44" i="31"/>
  <c r="K44" i="31"/>
  <c r="AA43" i="31"/>
  <c r="K43" i="31"/>
  <c r="AA42" i="31"/>
  <c r="K42" i="31"/>
  <c r="AA41" i="31"/>
  <c r="K41" i="31"/>
  <c r="AA40" i="31"/>
  <c r="K40" i="31"/>
  <c r="AA39" i="31"/>
  <c r="K39" i="31"/>
  <c r="AA38" i="31"/>
  <c r="K38" i="31"/>
  <c r="AA37" i="31"/>
  <c r="K37" i="31"/>
  <c r="AA36" i="31"/>
  <c r="K36" i="31"/>
  <c r="AA35" i="31"/>
  <c r="K35" i="31"/>
  <c r="AA34" i="31"/>
  <c r="K34" i="31"/>
  <c r="AA33" i="31"/>
  <c r="K33" i="31"/>
  <c r="AA32" i="31"/>
  <c r="K32" i="31"/>
  <c r="AA31" i="31"/>
  <c r="K31" i="31"/>
  <c r="AA30" i="31"/>
  <c r="K30" i="31"/>
  <c r="AA29" i="31"/>
  <c r="K29" i="31"/>
  <c r="AA28" i="31"/>
  <c r="K28" i="31"/>
  <c r="AA27" i="31"/>
  <c r="K27" i="31"/>
  <c r="AA26" i="31"/>
  <c r="K26" i="31"/>
  <c r="AA25" i="31"/>
  <c r="K25" i="31"/>
  <c r="AA24" i="31"/>
  <c r="K24" i="31"/>
  <c r="AA23" i="31"/>
  <c r="K23" i="31"/>
  <c r="AA22" i="31"/>
  <c r="K22" i="31"/>
  <c r="AA21" i="31"/>
  <c r="K21" i="31"/>
  <c r="AA20" i="31"/>
  <c r="K20" i="31"/>
  <c r="AA19" i="31"/>
  <c r="K19" i="31"/>
  <c r="AA18" i="31"/>
  <c r="K18" i="31"/>
  <c r="K17" i="31"/>
  <c r="AA16" i="31"/>
  <c r="K16" i="31"/>
  <c r="AA15" i="31"/>
  <c r="K15" i="31"/>
  <c r="AA14" i="31"/>
  <c r="K14" i="31"/>
  <c r="AA13" i="31"/>
  <c r="K13" i="31"/>
  <c r="AA12" i="31"/>
  <c r="K12" i="31"/>
  <c r="AA11" i="31"/>
  <c r="K11" i="31"/>
  <c r="AA10" i="31"/>
  <c r="K10" i="31"/>
  <c r="AA9" i="31"/>
  <c r="K9" i="31"/>
  <c r="AA8" i="31"/>
  <c r="K8" i="31"/>
  <c r="AA7" i="31"/>
  <c r="K7" i="31"/>
  <c r="AA6" i="31"/>
  <c r="K6" i="31"/>
  <c r="AA5" i="31"/>
  <c r="K5" i="31"/>
  <c r="K207" i="31" l="1"/>
  <c r="AA185" i="31"/>
  <c r="AA207" i="31" s="1"/>
  <c r="M207" i="31"/>
  <c r="L122" i="1" l="1"/>
  <c r="Q107" i="1"/>
  <c r="Q106" i="1"/>
  <c r="Q103" i="1"/>
  <c r="Q102" i="1"/>
  <c r="Q80" i="1"/>
  <c r="Q81" i="1"/>
  <c r="Q79" i="1"/>
  <c r="Q85" i="1"/>
  <c r="Q86" i="1"/>
  <c r="Q87" i="1"/>
  <c r="Q88" i="1"/>
  <c r="Q89" i="1"/>
  <c r="Q90" i="1"/>
  <c r="Q91" i="1"/>
  <c r="Q84"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32" i="1"/>
  <c r="Q16" i="1"/>
  <c r="Q17" i="1"/>
  <c r="Q18" i="1"/>
  <c r="Q19" i="1"/>
  <c r="Q20" i="1"/>
  <c r="Q21" i="1"/>
  <c r="Q22" i="1"/>
  <c r="Q23" i="1"/>
  <c r="Q24" i="1"/>
  <c r="Q25" i="1"/>
  <c r="Q26" i="1"/>
  <c r="Q27" i="1"/>
  <c r="Q28" i="1"/>
  <c r="Q29" i="1"/>
  <c r="Q15" i="1"/>
  <c r="S87" i="1" l="1"/>
  <c r="S88" i="1"/>
  <c r="S89" i="1"/>
  <c r="S90" i="1"/>
  <c r="I87" i="1"/>
  <c r="W87" i="1" s="1"/>
  <c r="I88" i="1"/>
  <c r="W88" i="1" s="1"/>
  <c r="I89" i="1"/>
  <c r="W89" i="1" s="1"/>
  <c r="I90" i="1"/>
  <c r="W90" i="1" s="1"/>
  <c r="BT211" i="22"/>
  <c r="BS211" i="22"/>
  <c r="BQ211" i="22"/>
  <c r="BL211" i="22"/>
  <c r="BH211" i="22"/>
  <c r="BG211" i="22"/>
  <c r="BE211" i="22"/>
  <c r="Y211" i="22"/>
  <c r="I120" i="1"/>
  <c r="I122" i="1"/>
  <c r="L53" i="1"/>
  <c r="S53" i="1" s="1"/>
  <c r="L54" i="1"/>
  <c r="S54" i="1" s="1"/>
  <c r="L55" i="1"/>
  <c r="S55" i="1" s="1"/>
  <c r="L56" i="1"/>
  <c r="S56" i="1" s="1"/>
  <c r="L57" i="1"/>
  <c r="S57" i="1" s="1"/>
  <c r="L52" i="1"/>
  <c r="S52" i="1" s="1"/>
  <c r="I52" i="1"/>
  <c r="W52" i="1" s="1"/>
  <c r="I53" i="1"/>
  <c r="W53" i="1" s="1"/>
  <c r="I54" i="1"/>
  <c r="W54" i="1" s="1"/>
  <c r="I55" i="1"/>
  <c r="W55" i="1" s="1"/>
  <c r="I56" i="1"/>
  <c r="W56" i="1" s="1"/>
  <c r="I57" i="1"/>
  <c r="W57" i="1" s="1"/>
  <c r="I58" i="1"/>
  <c r="W58" i="1" s="1"/>
  <c r="B4" i="24"/>
  <c r="V122" i="28"/>
  <c r="P122" i="28"/>
  <c r="K122" i="28"/>
  <c r="M122" i="28"/>
  <c r="L122" i="28"/>
  <c r="H122" i="28"/>
  <c r="G122" i="28"/>
  <c r="F122" i="28"/>
  <c r="I122" i="28" s="1"/>
  <c r="C122" i="28"/>
  <c r="B122" i="28"/>
  <c r="V117" i="28"/>
  <c r="V126" i="28" s="1"/>
  <c r="P117" i="28"/>
  <c r="K117" i="28"/>
  <c r="K126" i="28" s="1"/>
  <c r="W115" i="28"/>
  <c r="S115" i="28"/>
  <c r="S114" i="28"/>
  <c r="W114" i="28"/>
  <c r="S110" i="28"/>
  <c r="W110" i="28"/>
  <c r="M117" i="28"/>
  <c r="M126" i="28" s="1"/>
  <c r="G117" i="28"/>
  <c r="G126" i="28" s="1"/>
  <c r="F117" i="28"/>
  <c r="W107" i="28"/>
  <c r="V107" i="28"/>
  <c r="T107" i="28"/>
  <c r="S107" i="28"/>
  <c r="R107" i="28"/>
  <c r="Q107" i="28"/>
  <c r="P107" i="28"/>
  <c r="O107" i="28"/>
  <c r="M107" i="28"/>
  <c r="L107" i="28"/>
  <c r="K107" i="28"/>
  <c r="I107" i="28"/>
  <c r="H107" i="28"/>
  <c r="G107" i="28"/>
  <c r="F107" i="28"/>
  <c r="D107" i="28"/>
  <c r="C107" i="28"/>
  <c r="B107" i="28"/>
  <c r="W95" i="28"/>
  <c r="V91" i="28"/>
  <c r="P91" i="28"/>
  <c r="N91" i="28"/>
  <c r="K91" i="28"/>
  <c r="E91" i="28"/>
  <c r="W89" i="28"/>
  <c r="W88" i="28"/>
  <c r="W84" i="28"/>
  <c r="W81" i="28"/>
  <c r="W80" i="28"/>
  <c r="V77" i="28"/>
  <c r="V92" i="28" s="1"/>
  <c r="P77" i="28"/>
  <c r="P92" i="28" s="1"/>
  <c r="N77" i="28"/>
  <c r="N92" i="28" s="1"/>
  <c r="K77" i="28"/>
  <c r="K92" i="28" s="1"/>
  <c r="E77" i="28"/>
  <c r="C77" i="28"/>
  <c r="W75" i="28"/>
  <c r="W74" i="28"/>
  <c r="W73" i="28"/>
  <c r="W72" i="28"/>
  <c r="W71" i="28"/>
  <c r="M77" i="28"/>
  <c r="B77" i="28"/>
  <c r="M68" i="28"/>
  <c r="L68" i="28"/>
  <c r="K68" i="28"/>
  <c r="P64" i="28"/>
  <c r="N64" i="28"/>
  <c r="L64" i="28"/>
  <c r="K64" i="28"/>
  <c r="E64" i="28"/>
  <c r="C64" i="28"/>
  <c r="F64" i="28"/>
  <c r="I64" i="28" s="1"/>
  <c r="V62" i="28"/>
  <c r="G64" i="28"/>
  <c r="B64" i="28"/>
  <c r="V60" i="28"/>
  <c r="P60" i="28"/>
  <c r="N60" i="28"/>
  <c r="M60" i="28"/>
  <c r="K60" i="28"/>
  <c r="E60" i="28"/>
  <c r="W58" i="28"/>
  <c r="W57" i="28"/>
  <c r="W56" i="28"/>
  <c r="B60" i="28"/>
  <c r="W55" i="28"/>
  <c r="W54" i="28"/>
  <c r="V51" i="28"/>
  <c r="P51" i="28"/>
  <c r="N51" i="28"/>
  <c r="K51" i="28"/>
  <c r="E51" i="28"/>
  <c r="W50" i="28"/>
  <c r="W48" i="28"/>
  <c r="W47" i="28"/>
  <c r="W46" i="28"/>
  <c r="W44" i="28"/>
  <c r="W43" i="28"/>
  <c r="W41" i="28"/>
  <c r="M51" i="28"/>
  <c r="W40" i="28"/>
  <c r="V39" i="28"/>
  <c r="P39" i="28"/>
  <c r="N39" i="28"/>
  <c r="K39" i="28"/>
  <c r="E39" i="28"/>
  <c r="W38" i="28"/>
  <c r="W32" i="28"/>
  <c r="F39" i="28"/>
  <c r="C39" i="28"/>
  <c r="V29" i="28"/>
  <c r="P29" i="28"/>
  <c r="N29" i="28"/>
  <c r="K29" i="28"/>
  <c r="E29" i="28"/>
  <c r="W27" i="28"/>
  <c r="G29" i="28"/>
  <c r="W26" i="28"/>
  <c r="M29" i="28"/>
  <c r="B29" i="28"/>
  <c r="V23" i="28"/>
  <c r="P23" i="28"/>
  <c r="L23" i="28"/>
  <c r="K23" i="28"/>
  <c r="W21" i="28"/>
  <c r="S21" i="28"/>
  <c r="W19" i="28"/>
  <c r="M23" i="28"/>
  <c r="S19" i="28"/>
  <c r="C23" i="28"/>
  <c r="B23" i="28"/>
  <c r="F23" i="28"/>
  <c r="V16" i="28"/>
  <c r="P16" i="28"/>
  <c r="M16" i="28"/>
  <c r="L16" i="28"/>
  <c r="K16" i="28"/>
  <c r="B16" i="28"/>
  <c r="G16" i="28"/>
  <c r="V12" i="28"/>
  <c r="P12" i="28"/>
  <c r="K12" i="28"/>
  <c r="G12" i="28"/>
  <c r="R11" i="28"/>
  <c r="S11" i="28" s="1"/>
  <c r="W11" i="28"/>
  <c r="W10" i="28"/>
  <c r="R10" i="28"/>
  <c r="S10" i="28" s="1"/>
  <c r="I10" i="28"/>
  <c r="B12" i="28"/>
  <c r="I9" i="28"/>
  <c r="F12" i="28"/>
  <c r="I12" i="28" s="1"/>
  <c r="E92" i="28" l="1"/>
  <c r="N65" i="28"/>
  <c r="N93" i="28" s="1"/>
  <c r="E65" i="28"/>
  <c r="E93" i="28" s="1"/>
  <c r="D29" i="28"/>
  <c r="D39" i="28"/>
  <c r="G51" i="28"/>
  <c r="L91" i="28"/>
  <c r="M12" i="28"/>
  <c r="D16" i="28"/>
  <c r="D23" i="28"/>
  <c r="G39" i="28"/>
  <c r="O16" i="28"/>
  <c r="F16" i="28"/>
  <c r="W37" i="28"/>
  <c r="S14" i="28"/>
  <c r="S20" i="28"/>
  <c r="W20" i="28"/>
  <c r="F51" i="28"/>
  <c r="R9" i="28"/>
  <c r="L12" i="28"/>
  <c r="W36" i="28"/>
  <c r="W85" i="28"/>
  <c r="W34" i="28"/>
  <c r="C12" i="28"/>
  <c r="W14" i="28"/>
  <c r="W16" i="28" s="1"/>
  <c r="M39" i="28"/>
  <c r="W35" i="28"/>
  <c r="I39" i="28"/>
  <c r="L29" i="28"/>
  <c r="L39" i="28"/>
  <c r="D12" i="28"/>
  <c r="I11" i="28"/>
  <c r="W18" i="28"/>
  <c r="W28" i="28"/>
  <c r="B39" i="28"/>
  <c r="B65" i="28" s="1"/>
  <c r="Q39" i="28"/>
  <c r="B51" i="28"/>
  <c r="L60" i="28"/>
  <c r="M91" i="28"/>
  <c r="M92" i="28" s="1"/>
  <c r="W111" i="28"/>
  <c r="S111" i="28"/>
  <c r="C16" i="28"/>
  <c r="O29" i="28"/>
  <c r="C29" i="28"/>
  <c r="W42" i="28"/>
  <c r="G60" i="28"/>
  <c r="F77" i="28"/>
  <c r="O91" i="28"/>
  <c r="W87" i="28"/>
  <c r="C91" i="28"/>
  <c r="D117" i="28"/>
  <c r="W116" i="28"/>
  <c r="S116" i="28"/>
  <c r="W86" i="28"/>
  <c r="B117" i="28"/>
  <c r="B126" i="28" s="1"/>
  <c r="H16" i="28"/>
  <c r="O12" i="28"/>
  <c r="K65" i="28"/>
  <c r="K93" i="28" s="1"/>
  <c r="K98" i="28" s="1"/>
  <c r="O23" i="28"/>
  <c r="O39" i="28"/>
  <c r="L51" i="28"/>
  <c r="C60" i="28"/>
  <c r="O60" i="28"/>
  <c r="W59" i="28"/>
  <c r="D64" i="28"/>
  <c r="B91" i="28"/>
  <c r="B92" i="28" s="1"/>
  <c r="F126" i="28"/>
  <c r="I126" i="28" s="1"/>
  <c r="I117" i="28"/>
  <c r="W121" i="28"/>
  <c r="W22" i="28"/>
  <c r="G23" i="28"/>
  <c r="G65" i="28" s="1"/>
  <c r="L77" i="28"/>
  <c r="H12" i="28"/>
  <c r="W15" i="28"/>
  <c r="H23" i="28"/>
  <c r="F29" i="28"/>
  <c r="I29" i="28" s="1"/>
  <c r="C51" i="28"/>
  <c r="F60" i="28"/>
  <c r="D60" i="28"/>
  <c r="H64" i="28"/>
  <c r="F91" i="28"/>
  <c r="W83" i="28"/>
  <c r="W120" i="28"/>
  <c r="H29" i="28"/>
  <c r="D51" i="28"/>
  <c r="W45" i="28"/>
  <c r="O51" i="28"/>
  <c r="W49" i="28"/>
  <c r="Q77" i="28"/>
  <c r="G77" i="28"/>
  <c r="H77" i="28"/>
  <c r="W76" i="28"/>
  <c r="W77" i="28" s="1"/>
  <c r="G91" i="28"/>
  <c r="W90" i="28"/>
  <c r="W97" i="28"/>
  <c r="Q117" i="28"/>
  <c r="W109" i="28"/>
  <c r="W112" i="28"/>
  <c r="S112" i="28"/>
  <c r="D91" i="28"/>
  <c r="W82" i="28"/>
  <c r="P65" i="28"/>
  <c r="P93" i="28" s="1"/>
  <c r="P98" i="28" s="1"/>
  <c r="W31" i="28"/>
  <c r="W33" i="28"/>
  <c r="H60" i="28"/>
  <c r="M64" i="28"/>
  <c r="C92" i="28"/>
  <c r="W96" i="28"/>
  <c r="S113" i="28"/>
  <c r="W113" i="28"/>
  <c r="O77" i="28"/>
  <c r="H117" i="28"/>
  <c r="H126" i="28" s="1"/>
  <c r="O122" i="28"/>
  <c r="P126" i="28"/>
  <c r="V63" i="28"/>
  <c r="W63" i="28" s="1"/>
  <c r="O117" i="28"/>
  <c r="L117" i="28"/>
  <c r="L126" i="28" s="1"/>
  <c r="C117" i="28"/>
  <c r="C126" i="28" s="1"/>
  <c r="D122" i="28"/>
  <c r="O126" i="28" l="1"/>
  <c r="D126" i="28"/>
  <c r="L92" i="28"/>
  <c r="G92" i="28"/>
  <c r="G93" i="28"/>
  <c r="G98" i="28" s="1"/>
  <c r="I60" i="28"/>
  <c r="W51" i="28"/>
  <c r="I23" i="28"/>
  <c r="B93" i="28"/>
  <c r="B98" i="28" s="1"/>
  <c r="R64" i="28"/>
  <c r="S64" i="28" s="1"/>
  <c r="R39" i="28"/>
  <c r="S39" i="28" s="1"/>
  <c r="I77" i="28"/>
  <c r="F92" i="28"/>
  <c r="I92" i="28" s="1"/>
  <c r="Q122" i="28"/>
  <c r="Q126" i="28" s="1"/>
  <c r="W119" i="28"/>
  <c r="W122" i="28" s="1"/>
  <c r="Q60" i="28"/>
  <c r="W53" i="28"/>
  <c r="W60" i="28" s="1"/>
  <c r="M65" i="28"/>
  <c r="M93" i="28" s="1"/>
  <c r="M98" i="28" s="1"/>
  <c r="W39" i="28"/>
  <c r="R77" i="28"/>
  <c r="Q51" i="28"/>
  <c r="Q23" i="28"/>
  <c r="Q29" i="28"/>
  <c r="W25" i="28"/>
  <c r="W29" i="28" s="1"/>
  <c r="Q16" i="28"/>
  <c r="W9" i="28"/>
  <c r="W12" i="28" s="1"/>
  <c r="Q12" i="28"/>
  <c r="I16" i="28"/>
  <c r="F65" i="28"/>
  <c r="H51" i="28"/>
  <c r="S22" i="28"/>
  <c r="O64" i="28"/>
  <c r="S18" i="28"/>
  <c r="W23" i="28"/>
  <c r="R29" i="28"/>
  <c r="S29" i="28" s="1"/>
  <c r="C65" i="28"/>
  <c r="C93" i="28" s="1"/>
  <c r="C98" i="28" s="1"/>
  <c r="I51" i="28"/>
  <c r="S109" i="28"/>
  <c r="R117" i="28"/>
  <c r="D77" i="28"/>
  <c r="D92" i="28" s="1"/>
  <c r="W79" i="28"/>
  <c r="W91" i="28" s="1"/>
  <c r="W92" i="28" s="1"/>
  <c r="Q91" i="28"/>
  <c r="Q92" i="28" s="1"/>
  <c r="V64" i="28"/>
  <c r="V65" i="28" s="1"/>
  <c r="V93" i="28" s="1"/>
  <c r="V98" i="28" s="1"/>
  <c r="W117" i="28"/>
  <c r="H91" i="28"/>
  <c r="H92" i="28" s="1"/>
  <c r="H39" i="28"/>
  <c r="H65" i="28" s="1"/>
  <c r="W62" i="28"/>
  <c r="W64" i="28" s="1"/>
  <c r="Q64" i="28"/>
  <c r="O92" i="28"/>
  <c r="I91" i="28"/>
  <c r="D65" i="28"/>
  <c r="L65" i="28"/>
  <c r="L93" i="28" s="1"/>
  <c r="L98" i="28" s="1"/>
  <c r="S9" i="28"/>
  <c r="R12" i="28"/>
  <c r="O65" i="28"/>
  <c r="O93" i="28" s="1"/>
  <c r="W124" i="28"/>
  <c r="H93" i="28" l="1"/>
  <c r="H98" i="28" s="1"/>
  <c r="W125" i="28"/>
  <c r="S12" i="28"/>
  <c r="W126" i="28"/>
  <c r="S117" i="28"/>
  <c r="F93" i="28"/>
  <c r="I65" i="28"/>
  <c r="R60" i="28"/>
  <c r="S60" i="28" s="1"/>
  <c r="S77" i="28"/>
  <c r="Q65" i="28"/>
  <c r="Q93" i="28" s="1"/>
  <c r="Q98" i="28" s="1"/>
  <c r="R122" i="28"/>
  <c r="S122" i="28" s="1"/>
  <c r="D93" i="28"/>
  <c r="D98" i="28" s="1"/>
  <c r="R51" i="28"/>
  <c r="S51" i="28" s="1"/>
  <c r="W65" i="28"/>
  <c r="W93" i="28" s="1"/>
  <c r="W98" i="28" s="1"/>
  <c r="I103" i="28"/>
  <c r="O98" i="28"/>
  <c r="P103" i="28" s="1"/>
  <c r="P104" i="28" s="1"/>
  <c r="R23" i="28"/>
  <c r="S23" i="28" s="1"/>
  <c r="R91" i="28"/>
  <c r="S91" i="28" s="1"/>
  <c r="S15" i="28"/>
  <c r="R16" i="28"/>
  <c r="S16" i="28" s="1"/>
  <c r="R126" i="28" l="1"/>
  <c r="S126" i="28" s="1"/>
  <c r="R92" i="28"/>
  <c r="S92" i="28" s="1"/>
  <c r="R65" i="28"/>
  <c r="I93" i="28"/>
  <c r="F98" i="28"/>
  <c r="I98" i="28" s="1"/>
  <c r="R93" i="28" l="1"/>
  <c r="S65" i="28"/>
  <c r="S93" i="28" l="1"/>
  <c r="R98" i="28"/>
  <c r="S98" i="28" s="1"/>
  <c r="D3" i="24" l="1"/>
  <c r="B14" i="24"/>
  <c r="B27" i="24" s="1"/>
  <c r="CJ7" i="9" l="1"/>
  <c r="CA7" i="9"/>
  <c r="BK7" i="9"/>
  <c r="CK7" i="9"/>
  <c r="CL7" i="9" s="1"/>
  <c r="E7" i="9"/>
  <c r="B7" i="9"/>
  <c r="DR7" i="10"/>
  <c r="DQ7" i="10"/>
  <c r="DP7" i="10"/>
  <c r="DO7" i="10"/>
  <c r="DN7" i="10"/>
  <c r="DM7" i="10"/>
  <c r="DL7" i="10"/>
  <c r="DK7" i="10"/>
  <c r="CP7" i="10"/>
  <c r="CN7" i="10"/>
  <c r="CJ7" i="10"/>
  <c r="CH7" i="10"/>
  <c r="CG7" i="10"/>
  <c r="CE7" i="10"/>
  <c r="CD7" i="10"/>
  <c r="BY7" i="10"/>
  <c r="BX7" i="10"/>
  <c r="BW7" i="10"/>
  <c r="BV7" i="10"/>
  <c r="BU7" i="10"/>
  <c r="BT7" i="10"/>
  <c r="BS7" i="10"/>
  <c r="BR7" i="10"/>
  <c r="BP7" i="10"/>
  <c r="BN7" i="10"/>
  <c r="BI7" i="10"/>
  <c r="BH7" i="10"/>
  <c r="BG7" i="10"/>
  <c r="BF7" i="10"/>
  <c r="BE7" i="10"/>
  <c r="BD7" i="10"/>
  <c r="BC7" i="10"/>
  <c r="BB7" i="10"/>
  <c r="BA7" i="10"/>
  <c r="AZ7" i="10"/>
  <c r="AY7" i="10"/>
  <c r="AX7" i="10"/>
  <c r="AW7" i="10"/>
  <c r="AV7" i="10"/>
  <c r="AU7" i="10"/>
  <c r="AT7" i="10"/>
  <c r="AS7" i="10"/>
  <c r="AR7" i="10"/>
  <c r="AQ7" i="10"/>
  <c r="AP7" i="10"/>
  <c r="AO7" i="10"/>
  <c r="AN7" i="10"/>
  <c r="AM7" i="10"/>
  <c r="AL7" i="10"/>
  <c r="AK7" i="10"/>
  <c r="AJ7" i="10"/>
  <c r="AI7" i="10"/>
  <c r="AH7" i="10"/>
  <c r="AG7" i="10"/>
  <c r="AF7" i="10"/>
  <c r="AE7" i="10"/>
  <c r="AD7" i="10"/>
  <c r="AC7" i="10"/>
  <c r="AB7" i="10"/>
  <c r="AA7" i="10"/>
  <c r="Z7" i="10"/>
  <c r="Y7" i="10"/>
  <c r="U7" i="10"/>
  <c r="T7" i="10"/>
  <c r="S7" i="10"/>
  <c r="R7" i="10"/>
  <c r="Q7" i="10"/>
  <c r="P7" i="10"/>
  <c r="O7" i="10"/>
  <c r="N7" i="10"/>
  <c r="M7" i="10"/>
  <c r="L7" i="10"/>
  <c r="K7" i="10"/>
  <c r="J7" i="10"/>
  <c r="I7" i="10"/>
  <c r="H7" i="10"/>
  <c r="G7" i="10"/>
  <c r="DX7" i="11"/>
  <c r="DW7" i="11"/>
  <c r="DV7" i="11"/>
  <c r="DU7" i="11"/>
  <c r="DT7" i="11"/>
  <c r="DI7" i="11"/>
  <c r="DH7" i="11"/>
  <c r="DG7" i="11"/>
  <c r="DF7" i="11"/>
  <c r="DD7" i="11"/>
  <c r="DC7" i="11"/>
  <c r="DB7" i="11"/>
  <c r="CZ7" i="11"/>
  <c r="CY7" i="11"/>
  <c r="CX7" i="11"/>
  <c r="CW7" i="11"/>
  <c r="CU7" i="11"/>
  <c r="CT7" i="11"/>
  <c r="CS7" i="11"/>
  <c r="CJ7" i="11"/>
  <c r="BX7" i="11"/>
  <c r="BW7" i="11"/>
  <c r="BV7" i="11"/>
  <c r="BU7" i="11"/>
  <c r="AX7" i="11"/>
  <c r="AW7" i="11"/>
  <c r="AV7" i="11"/>
  <c r="AU7" i="11"/>
  <c r="AT7" i="11"/>
  <c r="AS7" i="11"/>
  <c r="E7" i="11"/>
  <c r="B7" i="11"/>
  <c r="DX7" i="10"/>
  <c r="DW7" i="10"/>
  <c r="DV7" i="10"/>
  <c r="DU7" i="10"/>
  <c r="DT7" i="10"/>
  <c r="DI7" i="10"/>
  <c r="DH7" i="10"/>
  <c r="DG7" i="10"/>
  <c r="DF7" i="10"/>
  <c r="DD7" i="10"/>
  <c r="DC7" i="10"/>
  <c r="DB7" i="10"/>
  <c r="CZ7" i="10"/>
  <c r="CY7" i="10"/>
  <c r="CX7" i="10"/>
  <c r="CW7" i="10"/>
  <c r="CU7" i="10"/>
  <c r="CT7" i="10"/>
  <c r="CS7" i="10"/>
  <c r="E7" i="10"/>
  <c r="B7" i="10"/>
  <c r="BX7" i="12"/>
  <c r="BW7" i="12"/>
  <c r="BV7" i="12"/>
  <c r="BU7" i="12"/>
  <c r="AX7" i="12"/>
  <c r="AW7" i="12"/>
  <c r="AV7" i="12"/>
  <c r="AU7" i="12"/>
  <c r="AT7" i="12"/>
  <c r="AS7" i="12"/>
  <c r="CI7" i="10" l="1"/>
  <c r="DS7" i="10"/>
  <c r="DE7" i="11"/>
  <c r="DJ7" i="11" s="1"/>
  <c r="CV7" i="11"/>
  <c r="DA7" i="11" s="1"/>
  <c r="DE7" i="10"/>
  <c r="DJ7" i="10" s="1"/>
  <c r="CV7" i="10"/>
  <c r="DA7" i="10" s="1"/>
  <c r="X7" i="10"/>
  <c r="BZ7" i="10"/>
  <c r="CF7" i="10"/>
  <c r="BJ7" i="10"/>
  <c r="CK7" i="10" l="1"/>
  <c r="CL7" i="10" s="1"/>
  <c r="BL7" i="10"/>
  <c r="T90" i="1" l="1"/>
  <c r="BX7" i="9" s="1"/>
  <c r="T89" i="1"/>
  <c r="BW7" i="9" s="1"/>
  <c r="T88" i="1"/>
  <c r="BV7" i="9" s="1"/>
  <c r="T87" i="1"/>
  <c r="BU7" i="9" s="1"/>
  <c r="T57" i="1"/>
  <c r="AX7" i="9" s="1"/>
  <c r="T56" i="1"/>
  <c r="AW7" i="9" s="1"/>
  <c r="T55" i="1"/>
  <c r="AV7" i="9" s="1"/>
  <c r="T54" i="1"/>
  <c r="AU7" i="9" s="1"/>
  <c r="T53" i="1"/>
  <c r="AT7" i="9" s="1"/>
  <c r="T52" i="1"/>
  <c r="AS7" i="9" s="1"/>
  <c r="CI208" i="22"/>
  <c r="CI207" i="22"/>
  <c r="CI206" i="22"/>
  <c r="CI205" i="22"/>
  <c r="CI204" i="22"/>
  <c r="CI203" i="22"/>
  <c r="CI202" i="22"/>
  <c r="CI201" i="22"/>
  <c r="CI200" i="22"/>
  <c r="CI199" i="22"/>
  <c r="CI198" i="22"/>
  <c r="CI197" i="22"/>
  <c r="CI196" i="22"/>
  <c r="CI195" i="22"/>
  <c r="CI193" i="22"/>
  <c r="CI192" i="22"/>
  <c r="CI191" i="22"/>
  <c r="CI190" i="22"/>
  <c r="CI189" i="22"/>
  <c r="CI188" i="22"/>
  <c r="CI187" i="22"/>
  <c r="CI186" i="22"/>
  <c r="CI185" i="22"/>
  <c r="CI184" i="22"/>
  <c r="CI183" i="22"/>
  <c r="CI182" i="22"/>
  <c r="CI181" i="22"/>
  <c r="CI180" i="22"/>
  <c r="CI179" i="22"/>
  <c r="CI178" i="22"/>
  <c r="CI177" i="22"/>
  <c r="CI176" i="22"/>
  <c r="CI175" i="22"/>
  <c r="CI174" i="22"/>
  <c r="CI173" i="22"/>
  <c r="CI172" i="22"/>
  <c r="CI171" i="22"/>
  <c r="CI170" i="22"/>
  <c r="CI169" i="22"/>
  <c r="CI168" i="22"/>
  <c r="CI167" i="22"/>
  <c r="CI166" i="22"/>
  <c r="CI165" i="22"/>
  <c r="CI164" i="22"/>
  <c r="CI163" i="22"/>
  <c r="CI162" i="22"/>
  <c r="CI161" i="22"/>
  <c r="CI160" i="22"/>
  <c r="CI159" i="22"/>
  <c r="CI158" i="22"/>
  <c r="CI157" i="22"/>
  <c r="CI156" i="22"/>
  <c r="CI155" i="22"/>
  <c r="CI154" i="22"/>
  <c r="CI153" i="22"/>
  <c r="CI152" i="22"/>
  <c r="CI150" i="22"/>
  <c r="CI149" i="22"/>
  <c r="CI148" i="22"/>
  <c r="CI147" i="22"/>
  <c r="CI146" i="22"/>
  <c r="CI145" i="22"/>
  <c r="CI144" i="22"/>
  <c r="CI143" i="22"/>
  <c r="CI142" i="22"/>
  <c r="CI141" i="22"/>
  <c r="CI140" i="22"/>
  <c r="CI139" i="22"/>
  <c r="CI138" i="22"/>
  <c r="CI137" i="22"/>
  <c r="CI136" i="22"/>
  <c r="CI135" i="22"/>
  <c r="CI134" i="22"/>
  <c r="CI133" i="22"/>
  <c r="CI132" i="22"/>
  <c r="CI131" i="22"/>
  <c r="CI130" i="22"/>
  <c r="CI129" i="22"/>
  <c r="CI128" i="22"/>
  <c r="CI127" i="22"/>
  <c r="CI126" i="22"/>
  <c r="CI125" i="22"/>
  <c r="CI124" i="22"/>
  <c r="CI123" i="22"/>
  <c r="CI122" i="22"/>
  <c r="CI121" i="22"/>
  <c r="CI120" i="22"/>
  <c r="CI119" i="22"/>
  <c r="CI118" i="22"/>
  <c r="CI117" i="22"/>
  <c r="CI116" i="22"/>
  <c r="CI115" i="22"/>
  <c r="CI114" i="22"/>
  <c r="CI113" i="22"/>
  <c r="CI112" i="22"/>
  <c r="CI111" i="22"/>
  <c r="CI110" i="22"/>
  <c r="CI109" i="22"/>
  <c r="CI108" i="22"/>
  <c r="CI107" i="22"/>
  <c r="CI106" i="22"/>
  <c r="CI105" i="22"/>
  <c r="CI104" i="22"/>
  <c r="CI103" i="22"/>
  <c r="CI102" i="22"/>
  <c r="CI101" i="22"/>
  <c r="CI100" i="22"/>
  <c r="CI99" i="22"/>
  <c r="CI98" i="22"/>
  <c r="CI97" i="22"/>
  <c r="CI96" i="22"/>
  <c r="CI95" i="22"/>
  <c r="CI94" i="22"/>
  <c r="CI93" i="22"/>
  <c r="CI92" i="22"/>
  <c r="BG92" i="22"/>
  <c r="BE92" i="22"/>
  <c r="CI91" i="22"/>
  <c r="CI90" i="22"/>
  <c r="CI89" i="22"/>
  <c r="CI88" i="22"/>
  <c r="CI87" i="22"/>
  <c r="CI86" i="22"/>
  <c r="AR86" i="22"/>
  <c r="CI85" i="22"/>
  <c r="CI84" i="22"/>
  <c r="CI83" i="22"/>
  <c r="CI82" i="22"/>
  <c r="CI81" i="22"/>
  <c r="CI80" i="22"/>
  <c r="CI79" i="22"/>
  <c r="CI78" i="22"/>
  <c r="CI77" i="22"/>
  <c r="CI76" i="22"/>
  <c r="CI75" i="22"/>
  <c r="CI74" i="22"/>
  <c r="CI73" i="22"/>
  <c r="CI72" i="22"/>
  <c r="CI71" i="22"/>
  <c r="CI70" i="22"/>
  <c r="CI69" i="22"/>
  <c r="CI68" i="22"/>
  <c r="CI67" i="22"/>
  <c r="DK66" i="22"/>
  <c r="CI66" i="22"/>
  <c r="CI65" i="22"/>
  <c r="CI64" i="22"/>
  <c r="CI63" i="22"/>
  <c r="CI62" i="22"/>
  <c r="CI61" i="22"/>
  <c r="CI60" i="22"/>
  <c r="CI59" i="22"/>
  <c r="CI58" i="22"/>
  <c r="CI57" i="22"/>
  <c r="CI56" i="22"/>
  <c r="CI55" i="22"/>
  <c r="CI54" i="22"/>
  <c r="CI53" i="22"/>
  <c r="CI52" i="22"/>
  <c r="CI51" i="22"/>
  <c r="CI50" i="22"/>
  <c r="CI49" i="22"/>
  <c r="CI48" i="22"/>
  <c r="CI47" i="22"/>
  <c r="CI46" i="22"/>
  <c r="CI45" i="22"/>
  <c r="CI44" i="22"/>
  <c r="CI43" i="22"/>
  <c r="CI42" i="22"/>
  <c r="CI41" i="22"/>
  <c r="CI40" i="22"/>
  <c r="CI39" i="22"/>
  <c r="CI38" i="22"/>
  <c r="CI37" i="22"/>
  <c r="CI36" i="22"/>
  <c r="CI35" i="22"/>
  <c r="CI34" i="22"/>
  <c r="CI33" i="22"/>
  <c r="CI32" i="22"/>
  <c r="CI31" i="22"/>
  <c r="CI29" i="22"/>
  <c r="CI28" i="22"/>
  <c r="CI27" i="22"/>
  <c r="CI26" i="22"/>
  <c r="CI25" i="22"/>
  <c r="CI24" i="22"/>
  <c r="CI23" i="22"/>
  <c r="CI22" i="22"/>
  <c r="CI21" i="22"/>
  <c r="CI20" i="22"/>
  <c r="CI19" i="22"/>
  <c r="CI18" i="22"/>
  <c r="CI17" i="22"/>
  <c r="CI16" i="22"/>
  <c r="CI15" i="22"/>
  <c r="CI14" i="22"/>
  <c r="CI13" i="22"/>
  <c r="CI12" i="22"/>
  <c r="CI11" i="22"/>
  <c r="CI10" i="22"/>
  <c r="CI209" i="22" s="1"/>
  <c r="CI9" i="22"/>
  <c r="D20" i="5" l="1"/>
  <c r="F20" i="5"/>
  <c r="H1" i="21"/>
  <c r="H1" i="10"/>
  <c r="H1" i="9"/>
  <c r="C7" i="9" s="1"/>
  <c r="H1" i="11" l="1"/>
  <c r="C7" i="11" s="1"/>
  <c r="C7" i="10"/>
  <c r="C7" i="21"/>
  <c r="A1" i="12"/>
  <c r="A1" i="9" s="1"/>
  <c r="A1" i="10" s="1"/>
  <c r="A1" i="11" s="1"/>
  <c r="A1" i="21" s="1"/>
  <c r="A2" i="12"/>
  <c r="A2" i="9" s="1"/>
  <c r="A2" i="10" s="1"/>
  <c r="A2" i="11" s="1"/>
  <c r="A2" i="21" s="1"/>
  <c r="E4" i="1" l="1"/>
  <c r="J59" i="1" l="1"/>
  <c r="J60" i="1"/>
  <c r="J79" i="1"/>
  <c r="J64" i="1"/>
  <c r="J20" i="1"/>
  <c r="J19" i="1"/>
  <c r="J23" i="1"/>
  <c r="J17" i="1"/>
  <c r="J48" i="1"/>
  <c r="J16" i="1"/>
  <c r="J15" i="1"/>
  <c r="J21" i="1"/>
  <c r="S142" i="1"/>
  <c r="F51" i="1"/>
  <c r="L60" i="1"/>
  <c r="S60" i="1" s="1"/>
  <c r="B3" i="24"/>
  <c r="A14" i="24" s="1"/>
  <c r="A27" i="24" s="1"/>
  <c r="F58" i="1"/>
  <c r="F59" i="1"/>
  <c r="A7" i="10"/>
  <c r="A7" i="9"/>
  <c r="A7" i="11"/>
  <c r="F86" i="1"/>
  <c r="F107" i="1"/>
  <c r="F13" i="1"/>
  <c r="F91" i="1"/>
  <c r="F79" i="1"/>
  <c r="F85" i="1"/>
  <c r="F106" i="1"/>
  <c r="F81" i="1"/>
  <c r="F84" i="1"/>
  <c r="F103" i="1"/>
  <c r="F67" i="1"/>
  <c r="F102" i="1"/>
  <c r="F68" i="1"/>
  <c r="F100" i="1"/>
  <c r="F80" i="1"/>
  <c r="F77" i="1"/>
  <c r="F66" i="1"/>
  <c r="F44" i="1"/>
  <c r="F36" i="1"/>
  <c r="F27" i="1"/>
  <c r="F18" i="1"/>
  <c r="F40" i="1"/>
  <c r="F47" i="1"/>
  <c r="F22" i="1"/>
  <c r="F60" i="1"/>
  <c r="F21" i="1"/>
  <c r="F45" i="1"/>
  <c r="F19" i="1"/>
  <c r="F65" i="1"/>
  <c r="F43" i="1"/>
  <c r="F35" i="1"/>
  <c r="F26" i="1"/>
  <c r="F17" i="1"/>
  <c r="F48" i="1"/>
  <c r="F20" i="1"/>
  <c r="F38" i="1"/>
  <c r="F28" i="1"/>
  <c r="F64" i="1"/>
  <c r="F50" i="1"/>
  <c r="F42" i="1"/>
  <c r="F34" i="1"/>
  <c r="F25" i="1"/>
  <c r="F16" i="1"/>
  <c r="F32" i="1"/>
  <c r="F39" i="1"/>
  <c r="F37" i="1"/>
  <c r="F63" i="1"/>
  <c r="F49" i="1"/>
  <c r="F41" i="1"/>
  <c r="F33" i="1"/>
  <c r="F24" i="1"/>
  <c r="F62" i="1"/>
  <c r="F23" i="1"/>
  <c r="F61" i="1"/>
  <c r="F46" i="1"/>
  <c r="F29" i="1"/>
  <c r="F15" i="1"/>
  <c r="H179" i="1"/>
  <c r="F30" i="1" l="1"/>
  <c r="F69" i="1"/>
  <c r="C7" i="12"/>
  <c r="T105" i="1" l="1"/>
  <c r="DR7" i="11" l="1"/>
  <c r="Q30" i="1"/>
  <c r="DO7" i="11"/>
  <c r="DP7" i="11"/>
  <c r="DQ7" i="11"/>
  <c r="DL7" i="11"/>
  <c r="DK7" i="11"/>
  <c r="DN7" i="11"/>
  <c r="DM7" i="11"/>
  <c r="DS7" i="11" l="1"/>
  <c r="S157" i="1"/>
  <c r="DQ7" i="21"/>
  <c r="DP7" i="21"/>
  <c r="DO7" i="21"/>
  <c r="DN7" i="21"/>
  <c r="DM7" i="21"/>
  <c r="DL7" i="21"/>
  <c r="DJ7" i="21"/>
  <c r="DI7" i="21"/>
  <c r="DH7" i="21"/>
  <c r="DG7" i="21"/>
  <c r="DF7" i="21"/>
  <c r="DE7" i="21"/>
  <c r="DD7" i="21"/>
  <c r="DC7" i="21"/>
  <c r="DA7" i="21"/>
  <c r="CZ7" i="21"/>
  <c r="CY7" i="21"/>
  <c r="CX7" i="21"/>
  <c r="CV7" i="21"/>
  <c r="CU7" i="21"/>
  <c r="CT7" i="21"/>
  <c r="CB7" i="21"/>
  <c r="CQ7" i="21"/>
  <c r="CP7" i="21"/>
  <c r="CO7" i="21"/>
  <c r="CM7" i="21"/>
  <c r="CL7" i="21"/>
  <c r="CK7" i="21"/>
  <c r="E7" i="21"/>
  <c r="B7" i="21"/>
  <c r="DK7" i="21" l="1"/>
  <c r="CN7" i="21"/>
  <c r="CW7" i="21"/>
  <c r="DB7" i="21" s="1"/>
  <c r="B3" i="5" l="1"/>
  <c r="S136" i="1" l="1"/>
  <c r="K136" i="1" l="1"/>
  <c r="L120" i="1" l="1"/>
  <c r="L84" i="1"/>
  <c r="S84" i="1" l="1"/>
  <c r="T84" i="1" l="1"/>
  <c r="BR7" i="9" s="1"/>
  <c r="BR7" i="11"/>
  <c r="DE7" i="12"/>
  <c r="CU7" i="12"/>
  <c r="B4" i="16" l="1"/>
  <c r="M82" i="1" l="1"/>
  <c r="N82" i="1"/>
  <c r="O82" i="1"/>
  <c r="P82" i="1"/>
  <c r="Q82" i="1"/>
  <c r="M30" i="1"/>
  <c r="N30" i="1"/>
  <c r="O30" i="1"/>
  <c r="P30" i="1"/>
  <c r="Q108" i="1" l="1"/>
  <c r="CP7" i="11" l="1"/>
  <c r="DY7" i="12"/>
  <c r="DX7" i="12"/>
  <c r="DW7" i="12"/>
  <c r="DV7" i="12"/>
  <c r="DU7" i="12"/>
  <c r="DS7" i="12"/>
  <c r="DR7" i="12"/>
  <c r="DQ7" i="12"/>
  <c r="DP7" i="12"/>
  <c r="DO7" i="12"/>
  <c r="DN7" i="12"/>
  <c r="DM7" i="12"/>
  <c r="DL7" i="12"/>
  <c r="DJ7" i="12"/>
  <c r="DI7" i="12"/>
  <c r="DH7" i="12"/>
  <c r="DG7" i="12"/>
  <c r="DD7" i="12"/>
  <c r="DC7" i="12"/>
  <c r="CY7" i="12"/>
  <c r="CX7" i="12"/>
  <c r="CW7" i="12"/>
  <c r="CT7" i="12"/>
  <c r="CS7" i="12"/>
  <c r="CJ7" i="12"/>
  <c r="E7" i="12"/>
  <c r="B7" i="12"/>
  <c r="H186" i="1"/>
  <c r="T120" i="1" l="1"/>
  <c r="CN7" i="9" s="1"/>
  <c r="CN7" i="11"/>
  <c r="CP7" i="12"/>
  <c r="T122" i="1"/>
  <c r="CP7" i="9" s="1"/>
  <c r="DT7" i="12"/>
  <c r="DF7" i="12"/>
  <c r="DK7" i="12" s="1"/>
  <c r="CN7" i="12"/>
  <c r="CV7" i="12"/>
  <c r="M124" i="1" l="1"/>
  <c r="N124" i="1"/>
  <c r="O124" i="1"/>
  <c r="P124" i="1"/>
  <c r="J108" i="1"/>
  <c r="M108" i="1"/>
  <c r="N108" i="1"/>
  <c r="O108" i="1"/>
  <c r="P108" i="1"/>
  <c r="J104" i="1"/>
  <c r="M104" i="1"/>
  <c r="N104" i="1"/>
  <c r="O104" i="1"/>
  <c r="P104" i="1"/>
  <c r="Q104" i="1"/>
  <c r="Q110" i="1" s="1"/>
  <c r="Q112" i="1" s="1"/>
  <c r="Q123" i="1" s="1"/>
  <c r="T96" i="1"/>
  <c r="J92" i="1"/>
  <c r="M92" i="1"/>
  <c r="M94" i="1" s="1"/>
  <c r="M96" i="1" s="1"/>
  <c r="N92" i="1"/>
  <c r="N94" i="1" s="1"/>
  <c r="N96" i="1" s="1"/>
  <c r="O92" i="1"/>
  <c r="O94" i="1" s="1"/>
  <c r="O96" i="1" s="1"/>
  <c r="P92" i="1"/>
  <c r="P94" i="1" s="1"/>
  <c r="P96" i="1" s="1"/>
  <c r="Q92" i="1"/>
  <c r="Q94" i="1" s="1"/>
  <c r="Q96" i="1" s="1"/>
  <c r="Q121" i="1" s="1"/>
  <c r="T73" i="1"/>
  <c r="M69" i="1"/>
  <c r="M71" i="1" s="1"/>
  <c r="M73" i="1" s="1"/>
  <c r="N69" i="1"/>
  <c r="N71" i="1" s="1"/>
  <c r="N73" i="1" s="1"/>
  <c r="O69" i="1"/>
  <c r="O71" i="1" s="1"/>
  <c r="O73" i="1" s="1"/>
  <c r="P69" i="1"/>
  <c r="P71" i="1" s="1"/>
  <c r="P73" i="1" s="1"/>
  <c r="Q69" i="1"/>
  <c r="Q71" i="1" s="1"/>
  <c r="Q73" i="1" s="1"/>
  <c r="Q119" i="1" s="1"/>
  <c r="Q124" i="1" l="1"/>
  <c r="O110" i="1"/>
  <c r="O112" i="1" s="1"/>
  <c r="M110" i="1"/>
  <c r="M112" i="1" s="1"/>
  <c r="J110" i="1"/>
  <c r="J112" i="1" s="1"/>
  <c r="J123" i="1" s="1"/>
  <c r="P110" i="1"/>
  <c r="P112" i="1" s="1"/>
  <c r="N110" i="1"/>
  <c r="N112" i="1" s="1"/>
  <c r="H187" i="1"/>
  <c r="L66" i="1"/>
  <c r="S66" i="1" s="1"/>
  <c r="L18" i="1"/>
  <c r="S18" i="1" s="1"/>
  <c r="L22" i="1"/>
  <c r="S22" i="1" s="1"/>
  <c r="T66" i="1" l="1"/>
  <c r="BG7" i="9" s="1"/>
  <c r="BG7" i="11"/>
  <c r="T18" i="1"/>
  <c r="J7" i="9" s="1"/>
  <c r="J7" i="11"/>
  <c r="T22" i="1"/>
  <c r="N7" i="9" s="1"/>
  <c r="N7" i="11"/>
  <c r="J7" i="12"/>
  <c r="N7" i="12"/>
  <c r="BG7" i="12"/>
  <c r="BR7" i="12" l="1"/>
  <c r="C3" i="5" l="1"/>
  <c r="A7" i="21" l="1"/>
  <c r="B2" i="5"/>
  <c r="I84" i="1"/>
  <c r="I66" i="1"/>
  <c r="B3" i="16"/>
  <c r="A7" i="12"/>
  <c r="I18" i="1" l="1"/>
  <c r="I22" i="1"/>
  <c r="W122" i="1"/>
  <c r="CH7" i="21" s="1"/>
  <c r="W120" i="1"/>
  <c r="CF7" i="21" s="1"/>
  <c r="W66" i="1"/>
  <c r="BC7" i="21" s="1"/>
  <c r="W84" i="1"/>
  <c r="BN7" i="21" s="1"/>
  <c r="F104" i="1"/>
  <c r="G108" i="1"/>
  <c r="G104" i="1"/>
  <c r="F82" i="1"/>
  <c r="G69" i="1"/>
  <c r="G30" i="1"/>
  <c r="G82" i="1"/>
  <c r="G92" i="1"/>
  <c r="J30" i="1"/>
  <c r="J69" i="1"/>
  <c r="J82" i="1"/>
  <c r="J94" i="1" s="1"/>
  <c r="J96" i="1" s="1"/>
  <c r="J121" i="1" s="1"/>
  <c r="F108" i="1"/>
  <c r="F92" i="1"/>
  <c r="X7" i="21" l="1"/>
  <c r="W22" i="1"/>
  <c r="N7" i="21" s="1"/>
  <c r="W18" i="1"/>
  <c r="J7" i="21" s="1"/>
  <c r="BG7" i="21"/>
  <c r="BS7" i="21"/>
  <c r="F110" i="1"/>
  <c r="F112" i="1" s="1"/>
  <c r="F123" i="1" s="1"/>
  <c r="F94" i="1"/>
  <c r="F96" i="1" s="1"/>
  <c r="F121" i="1" s="1"/>
  <c r="G77" i="1" s="1"/>
  <c r="G110" i="1"/>
  <c r="G112" i="1" s="1"/>
  <c r="G123" i="1" s="1"/>
  <c r="G94" i="1"/>
  <c r="G71" i="1"/>
  <c r="F71" i="1"/>
  <c r="F73" i="1" s="1"/>
  <c r="F119" i="1" s="1"/>
  <c r="V13" i="1" s="1"/>
  <c r="J71" i="1"/>
  <c r="G96" i="1" l="1"/>
  <c r="G121" i="1" s="1"/>
  <c r="G13" i="1"/>
  <c r="BK7" i="10"/>
  <c r="BM7" i="10" s="1"/>
  <c r="V77" i="1"/>
  <c r="CA7" i="10" s="1"/>
  <c r="S77" i="1"/>
  <c r="I77" i="1"/>
  <c r="F124" i="1"/>
  <c r="W7" i="21"/>
  <c r="V7" i="21"/>
  <c r="CA7" i="11" l="1"/>
  <c r="CA7" i="12"/>
  <c r="I13" i="1"/>
  <c r="S13" i="1"/>
  <c r="L13" i="1"/>
  <c r="J73" i="1"/>
  <c r="G73" i="1"/>
  <c r="G119" i="1" s="1"/>
  <c r="CR7" i="21"/>
  <c r="CS7" i="21" s="1"/>
  <c r="K144" i="1"/>
  <c r="DA7" i="12"/>
  <c r="DB7" i="12" s="1"/>
  <c r="J119" i="1" l="1"/>
  <c r="J124" i="1" s="1"/>
  <c r="F209" i="1"/>
  <c r="BK7" i="11"/>
  <c r="BK7" i="12"/>
  <c r="G124" i="1"/>
  <c r="F213" i="1"/>
  <c r="I68" i="1" l="1"/>
  <c r="W68" i="1" l="1"/>
  <c r="BE7" i="21" s="1"/>
  <c r="L68" i="1"/>
  <c r="S68" i="1" s="1"/>
  <c r="T68" i="1" l="1"/>
  <c r="BI7" i="9" s="1"/>
  <c r="BI7" i="11"/>
  <c r="BI7" i="12"/>
  <c r="I81" i="1" l="1"/>
  <c r="L107" i="1"/>
  <c r="S107" i="1" s="1"/>
  <c r="L58" i="1"/>
  <c r="S58" i="1" s="1"/>
  <c r="L41" i="1"/>
  <c r="S41" i="1" s="1"/>
  <c r="L91" i="1"/>
  <c r="S91" i="1" s="1"/>
  <c r="L67" i="1"/>
  <c r="S67" i="1" s="1"/>
  <c r="L86" i="1"/>
  <c r="S86" i="1" s="1"/>
  <c r="L42" i="1"/>
  <c r="S42" i="1" s="1"/>
  <c r="L80" i="1"/>
  <c r="S80" i="1" s="1"/>
  <c r="T86" i="1" l="1"/>
  <c r="BT7" i="9" s="1"/>
  <c r="BT7" i="11"/>
  <c r="T58" i="1"/>
  <c r="AY7" i="9" s="1"/>
  <c r="AY7" i="11"/>
  <c r="T42" i="1"/>
  <c r="AI7" i="9" s="1"/>
  <c r="AI7" i="11"/>
  <c r="T91" i="1"/>
  <c r="BY7" i="9" s="1"/>
  <c r="BY7" i="11"/>
  <c r="BY7" i="12"/>
  <c r="T41" i="1"/>
  <c r="AH7" i="9" s="1"/>
  <c r="AH7" i="11"/>
  <c r="T107" i="1"/>
  <c r="CH7" i="9" s="1"/>
  <c r="CH7" i="11"/>
  <c r="T67" i="1"/>
  <c r="BH7" i="9" s="1"/>
  <c r="BH7" i="11"/>
  <c r="T80" i="1"/>
  <c r="BO7" i="9"/>
  <c r="BO7" i="11"/>
  <c r="BO7" i="10"/>
  <c r="BQ7" i="10" s="1"/>
  <c r="CB7" i="10" s="1"/>
  <c r="CC7" i="10" s="1"/>
  <c r="L43" i="1"/>
  <c r="S43" i="1" s="1"/>
  <c r="L50" i="1"/>
  <c r="S50" i="1" s="1"/>
  <c r="CH7" i="12"/>
  <c r="L40" i="1"/>
  <c r="S40" i="1" s="1"/>
  <c r="AY7" i="12"/>
  <c r="L37" i="1"/>
  <c r="S37" i="1" s="1"/>
  <c r="L51" i="1"/>
  <c r="S51" i="1" s="1"/>
  <c r="L61" i="1"/>
  <c r="S61" i="1" s="1"/>
  <c r="L63" i="1"/>
  <c r="S63" i="1" s="1"/>
  <c r="L62" i="1"/>
  <c r="S62" i="1" s="1"/>
  <c r="L48" i="1"/>
  <c r="S48" i="1" s="1"/>
  <c r="L46" i="1"/>
  <c r="S46" i="1" s="1"/>
  <c r="BT7" i="12"/>
  <c r="L44" i="1"/>
  <c r="S44" i="1" s="1"/>
  <c r="L47" i="1"/>
  <c r="S47" i="1" s="1"/>
  <c r="AI7" i="12"/>
  <c r="BO7" i="12"/>
  <c r="BH7" i="12"/>
  <c r="L45" i="1"/>
  <c r="S45" i="1" s="1"/>
  <c r="AH7" i="12"/>
  <c r="L36" i="1"/>
  <c r="S36" i="1" s="1"/>
  <c r="I48" i="1"/>
  <c r="I61" i="1"/>
  <c r="I107" i="1"/>
  <c r="L16" i="1"/>
  <c r="S16" i="1" s="1"/>
  <c r="L103" i="1"/>
  <c r="S103" i="1" s="1"/>
  <c r="L38" i="1"/>
  <c r="S38" i="1" s="1"/>
  <c r="L34" i="1"/>
  <c r="S34" i="1" s="1"/>
  <c r="L35" i="1"/>
  <c r="S35" i="1" s="1"/>
  <c r="L24" i="1"/>
  <c r="S24" i="1" s="1"/>
  <c r="L28" i="1"/>
  <c r="S28" i="1" s="1"/>
  <c r="L21" i="1"/>
  <c r="S21" i="1" s="1"/>
  <c r="L20" i="1"/>
  <c r="S20" i="1" s="1"/>
  <c r="L25" i="1"/>
  <c r="S25" i="1" s="1"/>
  <c r="T38" i="1" l="1"/>
  <c r="AE7" i="9" s="1"/>
  <c r="AE7" i="11"/>
  <c r="T46" i="1"/>
  <c r="AM7" i="9" s="1"/>
  <c r="AM7" i="11"/>
  <c r="T40" i="1"/>
  <c r="AG7" i="9" s="1"/>
  <c r="AG7" i="11"/>
  <c r="T34" i="1"/>
  <c r="AA7" i="9" s="1"/>
  <c r="AA7" i="11"/>
  <c r="T103" i="1"/>
  <c r="CE7" i="9" s="1"/>
  <c r="CE7" i="11"/>
  <c r="T62" i="1"/>
  <c r="BC7" i="9" s="1"/>
  <c r="BC7" i="11"/>
  <c r="T43" i="1"/>
  <c r="AJ7" i="9" s="1"/>
  <c r="AJ7" i="11"/>
  <c r="T36" i="1"/>
  <c r="AC7" i="9" s="1"/>
  <c r="AC7" i="11"/>
  <c r="T50" i="1"/>
  <c r="AQ7" i="9" s="1"/>
  <c r="AQ7" i="11"/>
  <c r="T61" i="1"/>
  <c r="BB7" i="9" s="1"/>
  <c r="BB7" i="11"/>
  <c r="T25" i="1"/>
  <c r="Q7" i="9" s="1"/>
  <c r="Q7" i="11"/>
  <c r="T45" i="1"/>
  <c r="AL7" i="9" s="1"/>
  <c r="AL7" i="11"/>
  <c r="T63" i="1"/>
  <c r="BD7" i="9" s="1"/>
  <c r="BD7" i="11"/>
  <c r="T24" i="1"/>
  <c r="P7" i="9" s="1"/>
  <c r="P7" i="11"/>
  <c r="T47" i="1"/>
  <c r="AN7" i="9" s="1"/>
  <c r="AN7" i="11"/>
  <c r="T51" i="1"/>
  <c r="AR7" i="9" s="1"/>
  <c r="AR7" i="11"/>
  <c r="T28" i="1"/>
  <c r="T7" i="9" s="1"/>
  <c r="T7" i="11"/>
  <c r="T35" i="1"/>
  <c r="AB7" i="9" s="1"/>
  <c r="AB7" i="11"/>
  <c r="T44" i="1"/>
  <c r="AK7" i="9" s="1"/>
  <c r="AK7" i="11"/>
  <c r="T37" i="1"/>
  <c r="AD7" i="9" s="1"/>
  <c r="AD7" i="11"/>
  <c r="T20" i="1"/>
  <c r="L7" i="9" s="1"/>
  <c r="L7" i="11"/>
  <c r="T48" i="1"/>
  <c r="AO7" i="9" s="1"/>
  <c r="AO7" i="11"/>
  <c r="T16" i="1"/>
  <c r="H7" i="9" s="1"/>
  <c r="H7" i="11"/>
  <c r="T21" i="1"/>
  <c r="M7" i="9" s="1"/>
  <c r="M7" i="11"/>
  <c r="AK7" i="12"/>
  <c r="L59" i="1"/>
  <c r="S59" i="1" s="1"/>
  <c r="P7" i="12"/>
  <c r="L29" i="1"/>
  <c r="S29" i="1" s="1"/>
  <c r="AM7" i="12"/>
  <c r="BB7" i="12"/>
  <c r="K92" i="1"/>
  <c r="L85" i="1"/>
  <c r="L7" i="12"/>
  <c r="AD7" i="12"/>
  <c r="M7" i="12"/>
  <c r="L65" i="1"/>
  <c r="S65" i="1" s="1"/>
  <c r="AB7" i="12"/>
  <c r="CE7" i="12"/>
  <c r="AO7" i="12"/>
  <c r="L19" i="1"/>
  <c r="S19" i="1" s="1"/>
  <c r="L27" i="1"/>
  <c r="S27" i="1" s="1"/>
  <c r="L64" i="1"/>
  <c r="S64" i="1" s="1"/>
  <c r="AL7" i="12"/>
  <c r="AN7" i="12"/>
  <c r="AQ7" i="12"/>
  <c r="AA7" i="12"/>
  <c r="L49" i="1"/>
  <c r="S49" i="1" s="1"/>
  <c r="AR7" i="12"/>
  <c r="H7" i="12"/>
  <c r="Q7" i="12"/>
  <c r="K104" i="1"/>
  <c r="L102" i="1"/>
  <c r="AC7" i="12"/>
  <c r="AJ7" i="12"/>
  <c r="K108" i="1"/>
  <c r="L106" i="1"/>
  <c r="T7" i="12"/>
  <c r="AE7" i="12"/>
  <c r="L23" i="1"/>
  <c r="S23" i="1" s="1"/>
  <c r="L26" i="1"/>
  <c r="S26" i="1" s="1"/>
  <c r="BC7" i="12"/>
  <c r="BD7" i="12"/>
  <c r="AG7" i="12"/>
  <c r="I67" i="1"/>
  <c r="L81" i="1"/>
  <c r="S81" i="1" s="1"/>
  <c r="I91" i="1"/>
  <c r="W91" i="1" s="1"/>
  <c r="I86" i="1"/>
  <c r="I42" i="1"/>
  <c r="I37" i="1"/>
  <c r="L33" i="1"/>
  <c r="S33" i="1" s="1"/>
  <c r="I49" i="1"/>
  <c r="I36" i="1"/>
  <c r="I43" i="1"/>
  <c r="T49" i="1" l="1"/>
  <c r="AP7" i="9" s="1"/>
  <c r="AP7" i="11"/>
  <c r="T33" i="1"/>
  <c r="Z7" i="9" s="1"/>
  <c r="Z7" i="11"/>
  <c r="T26" i="1"/>
  <c r="R7" i="9" s="1"/>
  <c r="R7" i="11"/>
  <c r="T23" i="1"/>
  <c r="O7" i="9" s="1"/>
  <c r="O7" i="11"/>
  <c r="T29" i="1"/>
  <c r="U7" i="9" s="1"/>
  <c r="U7" i="11"/>
  <c r="T65" i="1"/>
  <c r="BF7" i="9" s="1"/>
  <c r="BF7" i="11"/>
  <c r="T81" i="1"/>
  <c r="BP7" i="9" s="1"/>
  <c r="BP7" i="11"/>
  <c r="T27" i="1"/>
  <c r="S7" i="9" s="1"/>
  <c r="S7" i="11"/>
  <c r="T59" i="1"/>
  <c r="AZ7" i="9" s="1"/>
  <c r="AZ7" i="11"/>
  <c r="T19" i="1"/>
  <c r="K7" i="9" s="1"/>
  <c r="K7" i="11"/>
  <c r="T64" i="1"/>
  <c r="BE7" i="9" s="1"/>
  <c r="BE7" i="11"/>
  <c r="T60" i="1"/>
  <c r="BA7" i="9" s="1"/>
  <c r="BA7" i="11"/>
  <c r="K7" i="12"/>
  <c r="BA7" i="12"/>
  <c r="S85" i="1"/>
  <c r="L92" i="1"/>
  <c r="BE7" i="12"/>
  <c r="L39" i="1"/>
  <c r="S39" i="1" s="1"/>
  <c r="BF7" i="12"/>
  <c r="S102" i="1"/>
  <c r="L104" i="1"/>
  <c r="L32" i="1"/>
  <c r="S7" i="12"/>
  <c r="AZ7" i="12"/>
  <c r="Z7" i="12"/>
  <c r="R7" i="12"/>
  <c r="S106" i="1"/>
  <c r="L108" i="1"/>
  <c r="AP7" i="12"/>
  <c r="BP7" i="12"/>
  <c r="K110" i="1"/>
  <c r="K112" i="1" s="1"/>
  <c r="K123" i="1" s="1"/>
  <c r="L123" i="1" s="1"/>
  <c r="L79" i="1"/>
  <c r="K82" i="1"/>
  <c r="K94" i="1" s="1"/>
  <c r="K96" i="1" s="1"/>
  <c r="K121" i="1" s="1"/>
  <c r="L121" i="1" s="1"/>
  <c r="W81" i="1"/>
  <c r="BL7" i="21" s="1"/>
  <c r="O7" i="12"/>
  <c r="U7" i="12"/>
  <c r="I65" i="1"/>
  <c r="I59" i="1"/>
  <c r="I38" i="1"/>
  <c r="I34" i="1"/>
  <c r="I35" i="1"/>
  <c r="I60" i="1"/>
  <c r="T106" i="1" l="1"/>
  <c r="CG7" i="9" s="1"/>
  <c r="CG7" i="11"/>
  <c r="CI7" i="11" s="1"/>
  <c r="T39" i="1"/>
  <c r="AF7" i="9" s="1"/>
  <c r="AF7" i="11"/>
  <c r="T85" i="1"/>
  <c r="BS7" i="9" s="1"/>
  <c r="BZ7" i="9" s="1"/>
  <c r="BS7" i="11"/>
  <c r="BZ7" i="11" s="1"/>
  <c r="T102" i="1"/>
  <c r="CD7" i="9" s="1"/>
  <c r="CD7" i="11"/>
  <c r="CF7" i="11" s="1"/>
  <c r="K69" i="1"/>
  <c r="W107" i="1"/>
  <c r="BZ7" i="21" s="1"/>
  <c r="S79" i="1"/>
  <c r="L82" i="1"/>
  <c r="L94" i="1" s="1"/>
  <c r="L96" i="1" s="1"/>
  <c r="S108" i="1"/>
  <c r="CG7" i="12"/>
  <c r="CI7" i="12" s="1"/>
  <c r="CD7" i="12"/>
  <c r="CF7" i="12" s="1"/>
  <c r="S104" i="1"/>
  <c r="AU7" i="21"/>
  <c r="AF7" i="12"/>
  <c r="L69" i="1"/>
  <c r="S32" i="1"/>
  <c r="BS7" i="12"/>
  <c r="BZ7" i="12" s="1"/>
  <c r="S92" i="1"/>
  <c r="L110" i="1"/>
  <c r="L112" i="1" s="1"/>
  <c r="I106" i="1"/>
  <c r="H108" i="1"/>
  <c r="I39" i="1"/>
  <c r="I33" i="1"/>
  <c r="CK7" i="11" l="1"/>
  <c r="CL7" i="11" s="1"/>
  <c r="T32" i="1"/>
  <c r="Y7" i="9" s="1"/>
  <c r="BJ7" i="9" s="1"/>
  <c r="BL7" i="9" s="1"/>
  <c r="BM7" i="9" s="1"/>
  <c r="Y7" i="11"/>
  <c r="BJ7" i="11" s="1"/>
  <c r="T79" i="1"/>
  <c r="BN7" i="9" s="1"/>
  <c r="BQ7" i="9" s="1"/>
  <c r="CB7" i="9" s="1"/>
  <c r="CC7" i="9" s="1"/>
  <c r="BN7" i="11"/>
  <c r="BQ7" i="11" s="1"/>
  <c r="CB7" i="11" s="1"/>
  <c r="CC7" i="11" s="1"/>
  <c r="S110" i="1"/>
  <c r="S112" i="1" s="1"/>
  <c r="CK7" i="12"/>
  <c r="CL7" i="12" s="1"/>
  <c r="BQ7" i="21"/>
  <c r="W86" i="1"/>
  <c r="BP7" i="21" s="1"/>
  <c r="W48" i="1"/>
  <c r="AQ7" i="21" s="1"/>
  <c r="S69" i="1"/>
  <c r="Y7" i="12"/>
  <c r="BJ7" i="12" s="1"/>
  <c r="H178" i="1"/>
  <c r="H180" i="1" s="1"/>
  <c r="S82" i="1"/>
  <c r="BN7" i="12"/>
  <c r="W42" i="1"/>
  <c r="AK7" i="21" s="1"/>
  <c r="W61" i="1"/>
  <c r="AX7" i="21" s="1"/>
  <c r="W67" i="1"/>
  <c r="BD7" i="21" s="1"/>
  <c r="I108" i="1"/>
  <c r="I110" i="1" s="1"/>
  <c r="I112" i="1" s="1"/>
  <c r="I32" i="1"/>
  <c r="S123" i="1" l="1"/>
  <c r="CQ7" i="11" s="1"/>
  <c r="U79" i="1"/>
  <c r="U53" i="1"/>
  <c r="U54" i="1"/>
  <c r="U57" i="1"/>
  <c r="U55" i="1"/>
  <c r="U56" i="1"/>
  <c r="U52" i="1"/>
  <c r="T82" i="1"/>
  <c r="F203" i="1"/>
  <c r="U107" i="1"/>
  <c r="U87" i="1"/>
  <c r="U106" i="1"/>
  <c r="U86" i="1"/>
  <c r="U103" i="1"/>
  <c r="U85" i="1"/>
  <c r="U102" i="1"/>
  <c r="U84" i="1"/>
  <c r="U91" i="1"/>
  <c r="U81" i="1"/>
  <c r="U90" i="1"/>
  <c r="U80" i="1"/>
  <c r="U89" i="1"/>
  <c r="U88" i="1"/>
  <c r="BQ7" i="12"/>
  <c r="CB7" i="12" s="1"/>
  <c r="CC7" i="12" s="1"/>
  <c r="CQ7" i="12"/>
  <c r="S94" i="1"/>
  <c r="S96" i="1" s="1"/>
  <c r="S121" i="1" s="1"/>
  <c r="U67" i="1"/>
  <c r="U59" i="1"/>
  <c r="U45" i="1"/>
  <c r="U37" i="1"/>
  <c r="U66" i="1"/>
  <c r="U58" i="1"/>
  <c r="U44" i="1"/>
  <c r="U65" i="1"/>
  <c r="U51" i="1"/>
  <c r="U43" i="1"/>
  <c r="U35" i="1"/>
  <c r="U38" i="1"/>
  <c r="U36" i="1"/>
  <c r="U50" i="1"/>
  <c r="U42" i="1"/>
  <c r="U34" i="1"/>
  <c r="U62" i="1"/>
  <c r="U32" i="1"/>
  <c r="U63" i="1"/>
  <c r="U49" i="1"/>
  <c r="U41" i="1"/>
  <c r="U33" i="1"/>
  <c r="U40" i="1"/>
  <c r="U61" i="1"/>
  <c r="U47" i="1"/>
  <c r="U39" i="1"/>
  <c r="U68" i="1"/>
  <c r="U46" i="1"/>
  <c r="U48" i="1"/>
  <c r="U60" i="1"/>
  <c r="U64" i="1"/>
  <c r="V108" i="1"/>
  <c r="T108" i="1"/>
  <c r="W106" i="1"/>
  <c r="T123" i="1" l="1"/>
  <c r="CQ7" i="9" s="1"/>
  <c r="CO7" i="11"/>
  <c r="F217" i="1"/>
  <c r="W60" i="1"/>
  <c r="AW7" i="21" s="1"/>
  <c r="BY7" i="21"/>
  <c r="CA7" i="21" s="1"/>
  <c r="W108" i="1"/>
  <c r="W110" i="1" s="1"/>
  <c r="W112" i="1" s="1"/>
  <c r="I20" i="1"/>
  <c r="T121" i="1" l="1"/>
  <c r="CO7" i="9" s="1"/>
  <c r="CO7" i="12"/>
  <c r="U121" i="1"/>
  <c r="I103" i="1"/>
  <c r="I28" i="1"/>
  <c r="I102" i="1" l="1"/>
  <c r="H104" i="1"/>
  <c r="H110" i="1" s="1"/>
  <c r="H112" i="1" s="1"/>
  <c r="H123" i="1" s="1"/>
  <c r="I123" i="1" s="1"/>
  <c r="I16" i="1"/>
  <c r="I21" i="1"/>
  <c r="W102" i="1" l="1"/>
  <c r="BV7" i="21" s="1"/>
  <c r="W20" i="1"/>
  <c r="L7" i="21" s="1"/>
  <c r="W103" i="1"/>
  <c r="BW7" i="21" s="1"/>
  <c r="BX7" i="21" l="1"/>
  <c r="CC7" i="21" s="1"/>
  <c r="CD7" i="21" s="1"/>
  <c r="W28" i="1"/>
  <c r="T7" i="21" s="1"/>
  <c r="T104" i="1"/>
  <c r="T110" i="1" s="1"/>
  <c r="T112" i="1" s="1"/>
  <c r="V104" i="1"/>
  <c r="V110" i="1" s="1"/>
  <c r="V112" i="1" s="1"/>
  <c r="V123" i="1" s="1"/>
  <c r="CQ7" i="10" l="1"/>
  <c r="W123" i="1"/>
  <c r="CI7" i="21" s="1"/>
  <c r="W16" i="1"/>
  <c r="H7" i="21" s="1"/>
  <c r="W21" i="1"/>
  <c r="M7" i="21" s="1"/>
  <c r="I80" i="1"/>
  <c r="W80" i="1" l="1"/>
  <c r="BK7" i="21" s="1"/>
  <c r="L17" i="1" l="1"/>
  <c r="S17" i="1" s="1"/>
  <c r="T17" i="1" l="1"/>
  <c r="I7" i="9" s="1"/>
  <c r="I7" i="11"/>
  <c r="I7" i="12"/>
  <c r="K30" i="1" l="1"/>
  <c r="K71" i="1" s="1"/>
  <c r="K73" i="1" s="1"/>
  <c r="K119" i="1" s="1"/>
  <c r="L15" i="1"/>
  <c r="S15" i="1" s="1"/>
  <c r="G7" i="11" l="1"/>
  <c r="X7" i="11" s="1"/>
  <c r="BL7" i="11" s="1"/>
  <c r="BM7" i="11" s="1"/>
  <c r="T15" i="1"/>
  <c r="G7" i="9" s="1"/>
  <c r="L30" i="1"/>
  <c r="L71" i="1" s="1"/>
  <c r="L73" i="1" s="1"/>
  <c r="G7" i="12" l="1"/>
  <c r="X7" i="12" s="1"/>
  <c r="BL7" i="12" s="1"/>
  <c r="BM7" i="12" s="1"/>
  <c r="S30" i="1"/>
  <c r="U15" i="1" s="1"/>
  <c r="F202" i="1" l="1"/>
  <c r="F204" i="1" s="1"/>
  <c r="F207" i="1" s="1"/>
  <c r="F211" i="1" s="1"/>
  <c r="F215" i="1" s="1"/>
  <c r="F219" i="1" s="1"/>
  <c r="S71" i="1"/>
  <c r="S73" i="1" s="1"/>
  <c r="S119" i="1" s="1"/>
  <c r="U23" i="1"/>
  <c r="U22" i="1"/>
  <c r="U29" i="1"/>
  <c r="U21" i="1"/>
  <c r="U26" i="1"/>
  <c r="U28" i="1"/>
  <c r="U27" i="1"/>
  <c r="U18" i="1"/>
  <c r="U25" i="1"/>
  <c r="U24" i="1"/>
  <c r="U16" i="1"/>
  <c r="U20" i="1"/>
  <c r="U19" i="1"/>
  <c r="U17" i="1"/>
  <c r="CM7" i="11" l="1"/>
  <c r="CR7" i="11" s="1"/>
  <c r="DZ7" i="11" s="1"/>
  <c r="S144" i="1"/>
  <c r="S170" i="1" s="1"/>
  <c r="T119" i="1" l="1"/>
  <c r="CM7" i="9" s="1"/>
  <c r="CR7" i="9" s="1"/>
  <c r="U119" i="1"/>
  <c r="CM7" i="12"/>
  <c r="CR7" i="12" s="1"/>
  <c r="EA7" i="12" s="1"/>
  <c r="S124" i="1"/>
  <c r="S172" i="1" s="1"/>
  <c r="I41" i="1"/>
  <c r="DZ7" i="12" l="1"/>
  <c r="DY7" i="11"/>
  <c r="DY7" i="10"/>
  <c r="I46" i="1"/>
  <c r="I45" i="1"/>
  <c r="I44" i="1"/>
  <c r="I47" i="1"/>
  <c r="I51" i="1" l="1"/>
  <c r="I62" i="1"/>
  <c r="I40" i="1" l="1"/>
  <c r="I79" i="1"/>
  <c r="H82" i="1"/>
  <c r="W41" i="1"/>
  <c r="AJ7" i="21" s="1"/>
  <c r="I64" i="1"/>
  <c r="I82" i="1" l="1"/>
  <c r="W43" i="1"/>
  <c r="AL7" i="21" s="1"/>
  <c r="W44" i="1" l="1"/>
  <c r="AM7" i="21" s="1"/>
  <c r="W45" i="1"/>
  <c r="AN7" i="21" s="1"/>
  <c r="H92" i="1"/>
  <c r="H94" i="1" s="1"/>
  <c r="H96" i="1" s="1"/>
  <c r="H121" i="1" s="1"/>
  <c r="I121" i="1" s="1"/>
  <c r="I85" i="1"/>
  <c r="W49" i="1"/>
  <c r="AR7" i="21" s="1"/>
  <c r="W47" i="1"/>
  <c r="AP7" i="21" s="1"/>
  <c r="W46" i="1"/>
  <c r="AO7" i="21" s="1"/>
  <c r="V82" i="1" l="1"/>
  <c r="W79" i="1"/>
  <c r="W51" i="1"/>
  <c r="AT7" i="21" s="1"/>
  <c r="W62" i="1"/>
  <c r="AY7" i="21" s="1"/>
  <c r="W40" i="1"/>
  <c r="AI7" i="21" s="1"/>
  <c r="I92" i="1"/>
  <c r="I94" i="1" s="1"/>
  <c r="I96" i="1" s="1"/>
  <c r="W59" i="1"/>
  <c r="AV7" i="21" s="1"/>
  <c r="T92" i="1" l="1"/>
  <c r="BJ7" i="21"/>
  <c r="BM7" i="21" s="1"/>
  <c r="W82" i="1"/>
  <c r="I19" i="1"/>
  <c r="I24" i="1" l="1"/>
  <c r="I27" i="1"/>
  <c r="I26" i="1"/>
  <c r="I25" i="1"/>
  <c r="V92" i="1"/>
  <c r="V94" i="1" s="1"/>
  <c r="V96" i="1" s="1"/>
  <c r="V121" i="1" s="1"/>
  <c r="W85" i="1"/>
  <c r="CO7" i="10" l="1"/>
  <c r="W121" i="1"/>
  <c r="CG7" i="21" s="1"/>
  <c r="I29" i="1"/>
  <c r="W92" i="1"/>
  <c r="W94" i="1" s="1"/>
  <c r="W96" i="1" s="1"/>
  <c r="BO7" i="21"/>
  <c r="BR7" i="21" s="1"/>
  <c r="BT7" i="21" s="1"/>
  <c r="BU7" i="21" s="1"/>
  <c r="W25" i="1" l="1"/>
  <c r="Q7" i="21" s="1"/>
  <c r="W24" i="1"/>
  <c r="P7" i="21" s="1"/>
  <c r="W19" i="1" l="1"/>
  <c r="K7" i="21" s="1"/>
  <c r="W27" i="1"/>
  <c r="S7" i="21" s="1"/>
  <c r="W26" i="1"/>
  <c r="R7" i="21" s="1"/>
  <c r="Y7" i="21" l="1"/>
  <c r="W29" i="1" l="1"/>
  <c r="U7" i="21" s="1"/>
  <c r="W37" i="1" l="1"/>
  <c r="AF7" i="21" s="1"/>
  <c r="W36" i="1"/>
  <c r="AE7" i="21" s="1"/>
  <c r="W38" i="1" l="1"/>
  <c r="AG7" i="21" s="1"/>
  <c r="W35" i="1"/>
  <c r="AD7" i="21" s="1"/>
  <c r="I23" i="1"/>
  <c r="W34" i="1" l="1"/>
  <c r="AC7" i="21" s="1"/>
  <c r="W32" i="1"/>
  <c r="AA7" i="21" l="1"/>
  <c r="W23" i="1" l="1"/>
  <c r="O7" i="21" s="1"/>
  <c r="I63" i="1" l="1"/>
  <c r="W63" i="1" l="1"/>
  <c r="AZ7" i="21" s="1"/>
  <c r="I15" i="1" l="1"/>
  <c r="W15" i="1" s="1"/>
  <c r="G7" i="21" l="1"/>
  <c r="W39" i="1" l="1"/>
  <c r="AH7" i="21" s="1"/>
  <c r="I17" i="1" l="1"/>
  <c r="H30" i="1"/>
  <c r="I30" i="1" l="1"/>
  <c r="I50" i="1"/>
  <c r="H69" i="1"/>
  <c r="H71" i="1" s="1"/>
  <c r="H73" i="1" s="1"/>
  <c r="H119" i="1" s="1"/>
  <c r="I119" i="1" s="1"/>
  <c r="I69" i="1" l="1"/>
  <c r="I71" i="1" s="1"/>
  <c r="I73" i="1" s="1"/>
  <c r="V30" i="1"/>
  <c r="W17" i="1"/>
  <c r="W50" i="1" l="1"/>
  <c r="AS7" i="21" s="1"/>
  <c r="I7" i="21"/>
  <c r="Z7" i="21" s="1"/>
  <c r="W30" i="1"/>
  <c r="W33" i="1" l="1"/>
  <c r="V69" i="1" l="1"/>
  <c r="V71" i="1" s="1"/>
  <c r="V73" i="1" s="1"/>
  <c r="V119" i="1" s="1"/>
  <c r="CM7" i="10" s="1"/>
  <c r="CR7" i="10" s="1"/>
  <c r="DZ7" i="10" s="1"/>
  <c r="W65" i="1"/>
  <c r="BB7" i="21" s="1"/>
  <c r="W64" i="1"/>
  <c r="BA7" i="21" s="1"/>
  <c r="AB7" i="21"/>
  <c r="W69" i="1" l="1"/>
  <c r="W71" i="1" s="1"/>
  <c r="W73" i="1" s="1"/>
  <c r="BF7" i="21"/>
  <c r="BH7" i="21" s="1"/>
  <c r="BI7" i="21" s="1"/>
  <c r="L119" i="1" l="1"/>
  <c r="L124" i="1" s="1"/>
  <c r="K124" i="1"/>
  <c r="H124" i="1" l="1"/>
  <c r="I124" i="1" l="1"/>
  <c r="W119" i="1" l="1"/>
  <c r="V124" i="1"/>
  <c r="CE7" i="21" l="1"/>
  <c r="CJ7" i="21" s="1"/>
  <c r="W1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Bryan, Sabrina</author>
  </authors>
  <commentList>
    <comment ref="I102" authorId="0" shapeId="0" xr:uid="{F69ADD91-EC45-40DF-B33C-20273A90D288}">
      <text>
        <r>
          <rPr>
            <b/>
            <sz val="9"/>
            <color indexed="81"/>
            <rFont val="Tahoma"/>
            <family val="2"/>
          </rPr>
          <t>Bryan, Sabrina:</t>
        </r>
        <r>
          <rPr>
            <sz val="9"/>
            <color indexed="81"/>
            <rFont val="Tahoma"/>
            <family val="2"/>
          </rPr>
          <t xml:space="preserve">
Please type in this figure from the signed budget.</t>
        </r>
      </text>
    </comment>
    <comment ref="P102" authorId="0" shapeId="0" xr:uid="{F21F750C-8159-4306-AD9E-24AB253DDB57}">
      <text>
        <r>
          <rPr>
            <b/>
            <sz val="9"/>
            <color indexed="81"/>
            <rFont val="Tahoma"/>
            <family val="2"/>
          </rPr>
          <t>Bryan, Sabrina:</t>
        </r>
        <r>
          <rPr>
            <sz val="9"/>
            <color indexed="81"/>
            <rFont val="Tahoma"/>
            <family val="2"/>
          </rPr>
          <t xml:space="preserve">
Please type in this figure from the signed budget.</t>
        </r>
      </text>
    </comment>
    <comment ref="I104" authorId="0" shapeId="0" xr:uid="{6D19B591-F166-4BF5-8D76-B2A422AC0115}">
      <text>
        <r>
          <rPr>
            <b/>
            <sz val="9"/>
            <color indexed="81"/>
            <rFont val="Tahoma"/>
            <family val="2"/>
          </rPr>
          <t>Bryan, Sabrina:</t>
        </r>
        <r>
          <rPr>
            <sz val="9"/>
            <color indexed="81"/>
            <rFont val="Tahoma"/>
            <family val="2"/>
          </rPr>
          <t xml:space="preserve">
This number should be updated a minimum of once a term. The number should match the current budget from HCSS Year 2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Harmanjot Kahlon</author>
  </authors>
  <commentList>
    <comment ref="G17" authorId="0" shapeId="0" xr:uid="{00000000-0006-0000-1000-000001000000}">
      <text>
        <r>
          <rPr>
            <b/>
            <sz val="9"/>
            <color indexed="81"/>
            <rFont val="Tahoma"/>
            <family val="2"/>
          </rPr>
          <t>Harmanjot Kahlon:</t>
        </r>
        <r>
          <rPr>
            <sz val="9"/>
            <color indexed="81"/>
            <rFont val="Tahoma"/>
            <family val="2"/>
          </rPr>
          <t xml:space="preserve">
Include separate balances where a school has two bank accounts</t>
        </r>
      </text>
    </comment>
    <comment ref="H17" authorId="0" shapeId="0" xr:uid="{00000000-0006-0000-1000-000002000000}">
      <text>
        <r>
          <rPr>
            <b/>
            <sz val="9"/>
            <color indexed="81"/>
            <rFont val="Tahoma"/>
            <family val="2"/>
          </rPr>
          <t>Harmanjot Kahlon:</t>
        </r>
        <r>
          <rPr>
            <sz val="9"/>
            <color indexed="81"/>
            <rFont val="Tahoma"/>
            <family val="2"/>
          </rPr>
          <t xml:space="preserve">
Include separate balances where a school has two bank accounts</t>
        </r>
      </text>
    </comment>
  </commentList>
</comments>
</file>

<file path=xl/sharedStrings.xml><?xml version="1.0" encoding="utf-8"?>
<sst xmlns="http://schemas.openxmlformats.org/spreadsheetml/2006/main" count="6560" uniqueCount="1045">
  <si>
    <t xml:space="preserve">Schools Name:                    </t>
  </si>
  <si>
    <t>Select School</t>
  </si>
  <si>
    <t>All cells to be populated</t>
  </si>
  <si>
    <t>DfE No:</t>
  </si>
  <si>
    <t>0000</t>
  </si>
  <si>
    <t>Reporting Period:</t>
  </si>
  <si>
    <t>Template version</t>
  </si>
  <si>
    <t>Standard</t>
  </si>
  <si>
    <t>Title</t>
  </si>
  <si>
    <t>Debtors</t>
  </si>
  <si>
    <t>Creditors</t>
  </si>
  <si>
    <t>Payment in Advance</t>
  </si>
  <si>
    <t>Income in Advance</t>
  </si>
  <si>
    <t>Accruals</t>
  </si>
  <si>
    <t>% Actual against budget</t>
  </si>
  <si>
    <t>Notes (Optional)</t>
  </si>
  <si>
    <t>REVENUE ACCOUNTS:</t>
  </si>
  <si>
    <t>Opening Revenue Balance [surplus/(deficit)]</t>
  </si>
  <si>
    <t>Income (revenue)</t>
  </si>
  <si>
    <t>I01</t>
  </si>
  <si>
    <t>Funds delegated by the local authority (LA)</t>
  </si>
  <si>
    <t>I02</t>
  </si>
  <si>
    <t>Funding for sixth form students</t>
  </si>
  <si>
    <t>I03</t>
  </si>
  <si>
    <t>High needs top-up funding</t>
  </si>
  <si>
    <t>I05</t>
  </si>
  <si>
    <t>Pupil Premium</t>
  </si>
  <si>
    <t>I06</t>
  </si>
  <si>
    <t>Other government grants</t>
  </si>
  <si>
    <t>I07</t>
  </si>
  <si>
    <t>Other grants and payments received</t>
  </si>
  <si>
    <t>I09</t>
  </si>
  <si>
    <t>Income from catering</t>
  </si>
  <si>
    <t>I10</t>
  </si>
  <si>
    <t>Receipts from supply teacher insurance claims</t>
  </si>
  <si>
    <t>I11</t>
  </si>
  <si>
    <t>Receipts from other insurance claims</t>
  </si>
  <si>
    <t>I12</t>
  </si>
  <si>
    <t>Income from contributions to visits</t>
  </si>
  <si>
    <t>I13</t>
  </si>
  <si>
    <t>Donations and/or voluntary funds</t>
  </si>
  <si>
    <t>I15</t>
  </si>
  <si>
    <t>Pupil-focused extended school funding or grants</t>
  </si>
  <si>
    <t>Total Income (revenue)</t>
  </si>
  <si>
    <t>Expenditure (Revenue)</t>
  </si>
  <si>
    <t>E01</t>
  </si>
  <si>
    <t>Teaching staff</t>
  </si>
  <si>
    <t>E02</t>
  </si>
  <si>
    <t>Supply teaching staff</t>
  </si>
  <si>
    <t>E03</t>
  </si>
  <si>
    <t>Education support staff</t>
  </si>
  <si>
    <t>E04</t>
  </si>
  <si>
    <t>Premises staff</t>
  </si>
  <si>
    <t>E05</t>
  </si>
  <si>
    <t>Administrative and clerical staff</t>
  </si>
  <si>
    <t>E06</t>
  </si>
  <si>
    <t>Catering staff</t>
  </si>
  <si>
    <t>E07</t>
  </si>
  <si>
    <t>Cost of other staff</t>
  </si>
  <si>
    <t>E08</t>
  </si>
  <si>
    <t>Indirect employee expenses</t>
  </si>
  <si>
    <t>E09</t>
  </si>
  <si>
    <t>Staff development and training</t>
  </si>
  <si>
    <t>E10</t>
  </si>
  <si>
    <t>Supply teacher insurance</t>
  </si>
  <si>
    <t>E11</t>
  </si>
  <si>
    <t>Staff related insurance</t>
  </si>
  <si>
    <t>E12</t>
  </si>
  <si>
    <t>Building maintenance and improvement</t>
  </si>
  <si>
    <t>E13</t>
  </si>
  <si>
    <t>Grounds maintenance and improvement</t>
  </si>
  <si>
    <t>E14</t>
  </si>
  <si>
    <t>Cleaning and caretaking</t>
  </si>
  <si>
    <t>E15</t>
  </si>
  <si>
    <t>Water and sewerage</t>
  </si>
  <si>
    <t>E16</t>
  </si>
  <si>
    <t>Energy</t>
  </si>
  <si>
    <t>E17</t>
  </si>
  <si>
    <t>Rates</t>
  </si>
  <si>
    <t>E18</t>
  </si>
  <si>
    <t>Other occupation costs</t>
  </si>
  <si>
    <t>E19</t>
  </si>
  <si>
    <t>Learning resources</t>
  </si>
  <si>
    <t>E20</t>
  </si>
  <si>
    <t>ICT learning resources</t>
  </si>
  <si>
    <t>E21</t>
  </si>
  <si>
    <t>Examination fees</t>
  </si>
  <si>
    <t>E22</t>
  </si>
  <si>
    <t>Administrative supplies</t>
  </si>
  <si>
    <t>E23</t>
  </si>
  <si>
    <t>Other insurance premiums</t>
  </si>
  <si>
    <t>E24</t>
  </si>
  <si>
    <t>Special facilities</t>
  </si>
  <si>
    <t>E25</t>
  </si>
  <si>
    <t>Catering supplies</t>
  </si>
  <si>
    <t>E26</t>
  </si>
  <si>
    <t>Agency supply teaching staff</t>
  </si>
  <si>
    <t>E27</t>
  </si>
  <si>
    <t>Bought-in professional services - curriculum</t>
  </si>
  <si>
    <t>E29</t>
  </si>
  <si>
    <t>Loan interest</t>
  </si>
  <si>
    <t>E30</t>
  </si>
  <si>
    <t>Direct revenue financing (revenue contributions to capital)</t>
  </si>
  <si>
    <t>Total Expenditure (revenue)</t>
  </si>
  <si>
    <t>In-year Revenue Balance [surplus/(deficit)]</t>
  </si>
  <si>
    <t>Closing Revenue Balance [surplus/(deficit)]</t>
  </si>
  <si>
    <t>CAPITAL ACCOUNTS:</t>
  </si>
  <si>
    <t>Opening Capital Balance [surplus/(deficit)]</t>
  </si>
  <si>
    <t>Income (Capital)</t>
  </si>
  <si>
    <t>CI01</t>
  </si>
  <si>
    <t>Capital Income</t>
  </si>
  <si>
    <t>CI03</t>
  </si>
  <si>
    <t>Voluntary or private income</t>
  </si>
  <si>
    <t>CI04</t>
  </si>
  <si>
    <t>Direct revenue financing</t>
  </si>
  <si>
    <t>Total Income (Capital)</t>
  </si>
  <si>
    <t>Expenditure (Capital)</t>
  </si>
  <si>
    <t>CE01</t>
  </si>
  <si>
    <t>Acquisition of land and existing buildings</t>
  </si>
  <si>
    <t>CE02</t>
  </si>
  <si>
    <t>New construction, conversion and renovation</t>
  </si>
  <si>
    <t>CE03</t>
  </si>
  <si>
    <t>Vehicles, plant, equipment and machinery</t>
  </si>
  <si>
    <t>CE04</t>
  </si>
  <si>
    <t>Information and communication technology</t>
  </si>
  <si>
    <t>Total Expenditure (Capital)</t>
  </si>
  <si>
    <t>In-year Capital Balance [surplus/(deficit)]</t>
  </si>
  <si>
    <t>Closing Capital Balance [surplus/(deficit)]</t>
  </si>
  <si>
    <t>COMMUNITY-FOCUSED SCHOOL REVENUE BALANCES:</t>
  </si>
  <si>
    <t>Opening Community-Focused Balance [surplus/(deficit)]</t>
  </si>
  <si>
    <t>Income (Community-Focused)</t>
  </si>
  <si>
    <t>I16</t>
  </si>
  <si>
    <t>Community-focused school funding or grants</t>
  </si>
  <si>
    <t>I17</t>
  </si>
  <si>
    <t>Community-focused school facilities income</t>
  </si>
  <si>
    <t>Total Income (Community-Focused)</t>
  </si>
  <si>
    <t>Expenditure (Community-Focused)</t>
  </si>
  <si>
    <t>E31</t>
  </si>
  <si>
    <t>Community-focused school staff</t>
  </si>
  <si>
    <t>E32</t>
  </si>
  <si>
    <t>Community-focused school costs</t>
  </si>
  <si>
    <t>Total Expenditure (Community-Focused)</t>
  </si>
  <si>
    <t>In-year Community-Focused Balance [surplus/(deficit)]</t>
  </si>
  <si>
    <t>Closing Community-Focused Balance [surplus/(deficit)]</t>
  </si>
  <si>
    <t>BREAKDOWN OF CLOSING BALANCES</t>
  </si>
  <si>
    <t>Balances</t>
  </si>
  <si>
    <t>B01</t>
  </si>
  <si>
    <t>Committed revenue balances</t>
  </si>
  <si>
    <t>B02</t>
  </si>
  <si>
    <t>Uncommitted revenue balances</t>
  </si>
  <si>
    <t>B03</t>
  </si>
  <si>
    <t>Devolved formula capital balance</t>
  </si>
  <si>
    <t>B05</t>
  </si>
  <si>
    <t>Other capital balances</t>
  </si>
  <si>
    <t>B06</t>
  </si>
  <si>
    <t>Community focused school revenue balances</t>
  </si>
  <si>
    <t>Total Closing Balance</t>
  </si>
  <si>
    <t>BALANCE SHEET</t>
  </si>
  <si>
    <t>Main Bank A/c</t>
  </si>
  <si>
    <t>Other Bank A/c</t>
  </si>
  <si>
    <t>Comments</t>
  </si>
  <si>
    <t>Bank Balance as per attached statement</t>
  </si>
  <si>
    <t>Reconciling Items</t>
  </si>
  <si>
    <t>Less : Unpresented Cheques (enter as a positive)</t>
  </si>
  <si>
    <t>Add : Uncredited Receipts (enter as a positive)</t>
  </si>
  <si>
    <t>Reconciled Bank Balance</t>
  </si>
  <si>
    <t>Closing Petty Cash Balance</t>
  </si>
  <si>
    <t>Other adjustments</t>
  </si>
  <si>
    <t>CLOSING BANK POSITION</t>
  </si>
  <si>
    <t>ACCRUALS, DEBTORS AND CREDITORS</t>
  </si>
  <si>
    <t>Debtors Non LBR</t>
  </si>
  <si>
    <t>(appear as debit balance)</t>
  </si>
  <si>
    <t>Debtors LBR</t>
  </si>
  <si>
    <t>Payment in advance Non LBR</t>
  </si>
  <si>
    <t>Payment in advance LBR</t>
  </si>
  <si>
    <t>Creditors Non LBR</t>
  </si>
  <si>
    <t>(appear as credit balance)</t>
  </si>
  <si>
    <t>Creditors LBR</t>
  </si>
  <si>
    <t>Income in advance Non LBR</t>
  </si>
  <si>
    <t>Income in advance LBR</t>
  </si>
  <si>
    <t>TOTAL ACCRUALS (FROM ACCRUAL SHEET)</t>
  </si>
  <si>
    <t>SYSTEM DEBTORS</t>
  </si>
  <si>
    <t>(enter as debit balance)</t>
  </si>
  <si>
    <t>SYSTEM CREDITORS</t>
  </si>
  <si>
    <t>(enter as credit balance)</t>
  </si>
  <si>
    <t>CLOSING BALANCE SHEET</t>
  </si>
  <si>
    <t>DIFFERENCE</t>
  </si>
  <si>
    <t>MUST EQUAL £0</t>
  </si>
  <si>
    <t>SUPPLEMENTARY CHECKS AND INFORMATION</t>
  </si>
  <si>
    <t>Difference</t>
  </si>
  <si>
    <t>Reason for difference - expecting Other costs under E08 paid through invoices</t>
  </si>
  <si>
    <t>Accruals Control Total</t>
  </si>
  <si>
    <t>Accruals as per Balance Sheet</t>
  </si>
  <si>
    <t xml:space="preserve">Accruals as per Income and Expenditure Statement </t>
  </si>
  <si>
    <t>Confirm that is correct before you submit?</t>
  </si>
  <si>
    <t>Date of Bank Rec completed by Schools</t>
  </si>
  <si>
    <t>SIGN OFF</t>
  </si>
  <si>
    <t xml:space="preserve">I verify that the information given is a true and complete statement. </t>
  </si>
  <si>
    <t>Signed</t>
  </si>
  <si>
    <t>(Headteacher)</t>
  </si>
  <si>
    <t>Print Name</t>
  </si>
  <si>
    <t>Date</t>
  </si>
  <si>
    <t>SCHOOLS FINANCE</t>
  </si>
  <si>
    <t>Post submission changes
Position (inc Accruals) 
(£)</t>
  </si>
  <si>
    <t>Revised 2018/19 position
(£)</t>
  </si>
  <si>
    <t>Main Bank A/c Adjustment</t>
  </si>
  <si>
    <t>Payroll Bank A/c Adjustment</t>
  </si>
  <si>
    <t xml:space="preserve">Main Bank A/c Revised </t>
  </si>
  <si>
    <t>Payroll Bank A/c Revised</t>
  </si>
  <si>
    <t>Unpresented cheques - likely to clear bank by 30/06/21</t>
  </si>
  <si>
    <t>Uncredited receipts - likely to clear bank by 30/06/21</t>
  </si>
  <si>
    <t>FTEs</t>
  </si>
  <si>
    <t>DfE</t>
  </si>
  <si>
    <t>As at</t>
  </si>
  <si>
    <t>School Name</t>
  </si>
  <si>
    <t>Bank account clearing after return submission</t>
  </si>
  <si>
    <t>Main Bank Balance</t>
  </si>
  <si>
    <t>Payroll Bank Balance</t>
  </si>
  <si>
    <t>SCHOOL DETAILS</t>
  </si>
  <si>
    <t>REVENUE ACCOUNTS</t>
  </si>
  <si>
    <t>CAPITAL ACCOUNTS</t>
  </si>
  <si>
    <t>COMMUNITY-FOCUSED SCHOOL REVENUE BALANCES</t>
  </si>
  <si>
    <t>CLOSING BALANCES</t>
  </si>
  <si>
    <t>BANK POSITION - MAIN</t>
  </si>
  <si>
    <t xml:space="preserve">BANK POSITION - PAYROLL </t>
  </si>
  <si>
    <t>ACCRUALS</t>
  </si>
  <si>
    <t>SYSTEMS DEBTORS</t>
  </si>
  <si>
    <t>SYSTEMS CREDITORS</t>
  </si>
  <si>
    <t>DfE Number</t>
  </si>
  <si>
    <t>Data</t>
  </si>
  <si>
    <t>Date copied</t>
  </si>
  <si>
    <t>Quarter</t>
  </si>
  <si>
    <t>Cost centre</t>
  </si>
  <si>
    <t>Total Funds delegated by the LA - SBS</t>
  </si>
  <si>
    <t>SEN funding (not for special schools) - SBS</t>
  </si>
  <si>
    <t>Other grants and payments</t>
  </si>
  <si>
    <t>Income from contributions to visits etc.</t>
  </si>
  <si>
    <t>Pupil focused extended school funding and/or grants</t>
  </si>
  <si>
    <t>TOTAL REVENUE INCOME</t>
  </si>
  <si>
    <t>Supply staff</t>
  </si>
  <si>
    <t>Development and training</t>
  </si>
  <si>
    <t>Learning resources (not ICT equipment)</t>
  </si>
  <si>
    <t>Exam fees</t>
  </si>
  <si>
    <t>TOTAL REVENUE EXPENDITURE</t>
  </si>
  <si>
    <t>Opening Revenue Balance</t>
  </si>
  <si>
    <t>IN-YEAR REVENUE BALANCE [surplus/(deficit)] (i)</t>
  </si>
  <si>
    <t>Closing Revenue Balance</t>
  </si>
  <si>
    <t>Capital income</t>
  </si>
  <si>
    <t>TOTAL CAPITAL INCOME</t>
  </si>
  <si>
    <t>New construction conversion and renovation</t>
  </si>
  <si>
    <t>TOTAL CAPITAL EXPENDITURE</t>
  </si>
  <si>
    <t>Opening Capital Balance</t>
  </si>
  <si>
    <t>IN-YEAR CAPITAL BALANCE [surplus/(deficit)]</t>
  </si>
  <si>
    <t>Closing Capital Balance</t>
  </si>
  <si>
    <t>Community-focused school funding and/or grants</t>
  </si>
  <si>
    <t>TOTAL COMMUNITY FOCUSED INCOME</t>
  </si>
  <si>
    <t>TOTAL COMMUNITY FOCUSED EXPENDITURE</t>
  </si>
  <si>
    <t>Opening Community focused Balance</t>
  </si>
  <si>
    <t>In-year Community focused balance</t>
  </si>
  <si>
    <t>Closing Community Focused Balance</t>
  </si>
  <si>
    <t>Devolved formula capital balances</t>
  </si>
  <si>
    <t>TOTAL CLOSING BALANCE</t>
  </si>
  <si>
    <t>Bank Balance</t>
  </si>
  <si>
    <t>Unpresented Cheques</t>
  </si>
  <si>
    <t>Uncredited Receipts</t>
  </si>
  <si>
    <t>VAT Reimbursement Outstanding - Other</t>
  </si>
  <si>
    <t>Closing Bank Position</t>
  </si>
  <si>
    <t>Total Accruals</t>
  </si>
  <si>
    <t>NON LBR Payroll March creditor balance</t>
  </si>
  <si>
    <t>DIFFERENCE - SHOULD BE £0</t>
  </si>
  <si>
    <t>I04</t>
  </si>
  <si>
    <t>Funding for minority ethnic pupils</t>
  </si>
  <si>
    <t>Other income from facilities and services</t>
  </si>
  <si>
    <t>Income from letting premises</t>
  </si>
  <si>
    <t>I18A</t>
  </si>
  <si>
    <t>I18B</t>
  </si>
  <si>
    <t>I18C</t>
  </si>
  <si>
    <t>I18D</t>
  </si>
  <si>
    <t>Income from the Coronavirus Job Retention Scheme</t>
  </si>
  <si>
    <t>Income from the DfE grant scheme for reimbursing exceptional costs</t>
  </si>
  <si>
    <t>income from the COVID-19 catch-up</t>
  </si>
  <si>
    <t>Income from other additional grants</t>
  </si>
  <si>
    <t>E28a</t>
  </si>
  <si>
    <t>E28b</t>
  </si>
  <si>
    <t>I08a</t>
  </si>
  <si>
    <t>I08b</t>
  </si>
  <si>
    <t>Bought-in professional services - other(except PFI)</t>
  </si>
  <si>
    <t>Bought-in professional services - other (PFI)</t>
  </si>
  <si>
    <t>Quarter 3</t>
  </si>
  <si>
    <t>VAT Reimbursement Outstanding - June 2021</t>
  </si>
  <si>
    <t>May</t>
  </si>
  <si>
    <t>Checklist</t>
  </si>
  <si>
    <t>a</t>
  </si>
  <si>
    <t>b</t>
  </si>
  <si>
    <t>c</t>
  </si>
  <si>
    <t>d</t>
  </si>
  <si>
    <t>e</t>
  </si>
  <si>
    <t>f</t>
  </si>
  <si>
    <t>g</t>
  </si>
  <si>
    <t>i</t>
  </si>
  <si>
    <t>l</t>
  </si>
  <si>
    <t>-Complete Accruals within the tab Accruals; Please ensure all yellow cells are completed for the rows populated by yourself.</t>
  </si>
  <si>
    <t>-Complete Bank account and unreconciled transactions (detailed bank reconciliation attached to the return) for all bank accounts including payroll bank account within tab CFR Return;</t>
  </si>
  <si>
    <t>-Complete Petty cash balance within tab CFR Return;</t>
  </si>
  <si>
    <t>-Complete Debtor balances within tab CFR Return. The accrual balances will be prepopulated, cells O148-O155, based on the tab Accruals. Some Schools also operate a Debtors system and therefore will have a debtor control account balance which will need to be included under cell O161 and O162 under tab CFR Return. Also check that the signage for the balances are correct.</t>
  </si>
  <si>
    <t>-Complete Creditor balances within tab CFR Return. The accrual balances will be prepopulated, cells O148-O155, based on the tab Accruals. Some Schools also operate a Creditors system and therefore will have a creditor control account balance which will need to be included under cell O165 and O166 under tab CFR Return. Also check that the signage for the balances are correct.</t>
  </si>
  <si>
    <t xml:space="preserve">-External payroll provider schools only -  the March salary accrual balance should be entered within cell O168 tab CFR Return </t>
  </si>
  <si>
    <t>-Complete FTE's details within tab Establishment</t>
  </si>
  <si>
    <t xml:space="preserve">-Complete advertising and publicity costs under tab Advertising &amp; Publicity. </t>
  </si>
  <si>
    <t>Ensure there is no difference between the accruals total per income and expenditure analysis (CFR top section) and the accruals in the balance sheet (accruals balance at the bottom of the return) cell F188 within tab CFR Return. Any difference needs to be resolved before submission. Difference could be due to not all required fields being completed within the tab accruals. Also check that the signage for the balances are correct, see cells P148-P155 within tab CFR Return.</t>
  </si>
  <si>
    <t>Sector</t>
  </si>
  <si>
    <t>Expenditure</t>
  </si>
  <si>
    <t>Income</t>
  </si>
  <si>
    <t>Other adjustments (Please provide full back up)</t>
  </si>
  <si>
    <t>Apprentice / Employee costs &amp; difference between actual &amp; estimated salaries to date.</t>
  </si>
  <si>
    <t>BalanceSheet</t>
  </si>
  <si>
    <t>Payment in advance</t>
  </si>
  <si>
    <t>Income in advance</t>
  </si>
  <si>
    <t>Accrual</t>
  </si>
  <si>
    <t>Payment_in_advance</t>
  </si>
  <si>
    <t>Income_in_advance</t>
  </si>
  <si>
    <t>%</t>
  </si>
  <si>
    <t>INCOME</t>
  </si>
  <si>
    <t>EXPENDITURE</t>
  </si>
  <si>
    <t>E01-E07</t>
  </si>
  <si>
    <t xml:space="preserve">Added by Schools Finance </t>
  </si>
  <si>
    <t>Agresso Pseudo Bank</t>
  </si>
  <si>
    <t>Add ''cash'' which would have made up the capital balance B03</t>
  </si>
  <si>
    <t>Total psuedo cash to be added to 'balance' sheet</t>
  </si>
  <si>
    <t>Total brought forward revenue 'cash'</t>
  </si>
  <si>
    <t>Total revenue pseudo cash should be</t>
  </si>
  <si>
    <t>Allens Croft Nursery School</t>
  </si>
  <si>
    <t>Arden Primary School</t>
  </si>
  <si>
    <t>Baskerville School</t>
  </si>
  <si>
    <t>Bishop Challoner Catholic College</t>
  </si>
  <si>
    <t>Boldmere Infant School and Nursery</t>
  </si>
  <si>
    <t>Boldmere Junior School</t>
  </si>
  <si>
    <t>Bordesley Green Girls' School &amp; Sixth Form</t>
  </si>
  <si>
    <t>Bordesley Green Primary School</t>
  </si>
  <si>
    <t>Broadmeadow Infant School</t>
  </si>
  <si>
    <t>Broadmeadow Junior School</t>
  </si>
  <si>
    <t>Cardinal Wiseman Catholic School</t>
  </si>
  <si>
    <t>Chad Vale Primary School</t>
  </si>
  <si>
    <t>Cherry Oak School</t>
  </si>
  <si>
    <t>Chilcote Primary School</t>
  </si>
  <si>
    <t>Christ Church CofE Controlled Primary School and Nursery</t>
  </si>
  <si>
    <t>Christ The King Catholic Primary School</t>
  </si>
  <si>
    <t>Colmers School and Sixth Form College</t>
  </si>
  <si>
    <t>Colmore Infant and Nursery School</t>
  </si>
  <si>
    <t>Colmore Junior School</t>
  </si>
  <si>
    <t>Cotteridge Primary School</t>
  </si>
  <si>
    <t>Forestdale Primary School</t>
  </si>
  <si>
    <t>Glenmead Primary School</t>
  </si>
  <si>
    <t>Hall Green Junior School</t>
  </si>
  <si>
    <t>Hodge Hill College</t>
  </si>
  <si>
    <t>Hodge Hill Girls' School</t>
  </si>
  <si>
    <t>Holte School</t>
  </si>
  <si>
    <t>James Watt Primary School</t>
  </si>
  <si>
    <t>Little Sutton Primary School</t>
  </si>
  <si>
    <t>Lozells Junior and Infant School and Nursery</t>
  </si>
  <si>
    <t>Lyndon Green Infant School</t>
  </si>
  <si>
    <t>Lyndon Green Junior School</t>
  </si>
  <si>
    <t>Marsh Hill Primary School</t>
  </si>
  <si>
    <t>Maryvale Catholic Primary School</t>
  </si>
  <si>
    <t>Moor Hall Primary School</t>
  </si>
  <si>
    <t>Moseley School and Sixth Form</t>
  </si>
  <si>
    <t>Oscott Manor School</t>
  </si>
  <si>
    <t>Queensbridge School</t>
  </si>
  <si>
    <t>Selly Oak Trust School</t>
  </si>
  <si>
    <t>Selly Park Girls' School</t>
  </si>
  <si>
    <t>Shenley Fields Nursery School</t>
  </si>
  <si>
    <t>Sladefield Infant School</t>
  </si>
  <si>
    <t>St Dunstan's Catholic Primary School</t>
  </si>
  <si>
    <t>St Jude's Catholic Primary School</t>
  </si>
  <si>
    <t>St Laurence Church Infant School</t>
  </si>
  <si>
    <t>St Matthew's CofE Primary School</t>
  </si>
  <si>
    <t>St Paul's School for Girls</t>
  </si>
  <si>
    <t>St Peters CofE Primary School</t>
  </si>
  <si>
    <t>The Oratory Roman Catholic Primary School</t>
  </si>
  <si>
    <t>Uffculme School</t>
  </si>
  <si>
    <t>Victoria School</t>
  </si>
  <si>
    <t>Walmley Infant School</t>
  </si>
  <si>
    <t>Walmley Junior School</t>
  </si>
  <si>
    <t>Welford Primary School</t>
  </si>
  <si>
    <t>Wheelers Lane Primary School</t>
  </si>
  <si>
    <t>Wheelers Lane Technology College</t>
  </si>
  <si>
    <t>William Murdoch Primary School</t>
  </si>
  <si>
    <t>World's End Junior School</t>
  </si>
  <si>
    <t>Wylde Green Primary School</t>
  </si>
  <si>
    <t>Whitehouse Common Primary School</t>
  </si>
  <si>
    <t>St Bernard's Catholic Primary School</t>
  </si>
  <si>
    <t>Adderley Primary School</t>
  </si>
  <si>
    <t>Highters Heath Nursery School</t>
  </si>
  <si>
    <t>Adderley Nursery School</t>
  </si>
  <si>
    <t>Edith Cadbury Nursery School</t>
  </si>
  <si>
    <t>Al-Furqan Primary School</t>
  </si>
  <si>
    <t>Anderton Park Primary School</t>
  </si>
  <si>
    <t>Barford Primary School</t>
  </si>
  <si>
    <t>Beaufort School</t>
  </si>
  <si>
    <t>Beeches Infant School</t>
  </si>
  <si>
    <t>Beeches Junior School</t>
  </si>
  <si>
    <t>Bellfield Junior School</t>
  </si>
  <si>
    <t>Bells Farm Primary School</t>
  </si>
  <si>
    <t>Blakesley Hall Primary School</t>
  </si>
  <si>
    <t>Bloomsbury Nursery School</t>
  </si>
  <si>
    <t>Bournville Village Primary</t>
  </si>
  <si>
    <t>Brearley Nursery School</t>
  </si>
  <si>
    <t>Castle Vale Nursery School</t>
  </si>
  <si>
    <t>Cofton Primary School</t>
  </si>
  <si>
    <t>Corpus Christi Catholic Primary School</t>
  </si>
  <si>
    <t>Featherstone Nursery School</t>
  </si>
  <si>
    <t>Featherstone Primary School</t>
  </si>
  <si>
    <t>Garretts Green Nursery School</t>
  </si>
  <si>
    <t>George Dixon Primary School</t>
  </si>
  <si>
    <t>Goodway Nursery School</t>
  </si>
  <si>
    <t>Gracelands Nursery School</t>
  </si>
  <si>
    <t>Grendon Primary School</t>
  </si>
  <si>
    <t>Grove School</t>
  </si>
  <si>
    <t>Gunter Primary School</t>
  </si>
  <si>
    <t>Hamilton School</t>
  </si>
  <si>
    <t>Harborne Primary School</t>
  </si>
  <si>
    <t>Harper Bell Seventh-Day Adventist School</t>
  </si>
  <si>
    <t>Highfield Nursery School</t>
  </si>
  <si>
    <t>Holly Hill Methodist CofE Infant School</t>
  </si>
  <si>
    <t>Hollyfield Primary School</t>
  </si>
  <si>
    <t>Holy Family Catholic Primary School</t>
  </si>
  <si>
    <t>Jakeman Nursery School</t>
  </si>
  <si>
    <t>King David Junior and Infant School</t>
  </si>
  <si>
    <t>Kings Heath Primary School</t>
  </si>
  <si>
    <t>Kings Norton Nursery School</t>
  </si>
  <si>
    <t>Kingsland Primary School (NC)</t>
  </si>
  <si>
    <t>Kingsthorne Primary School</t>
  </si>
  <si>
    <t>Kitwell Primary School</t>
  </si>
  <si>
    <t>Lillian de Lissa Nursery School</t>
  </si>
  <si>
    <t>Lindsworth School</t>
  </si>
  <si>
    <t>Mapledene Primary School</t>
  </si>
  <si>
    <t>Marsh Hill Nursery School</t>
  </si>
  <si>
    <t>Moseley Church of England Primary School</t>
  </si>
  <si>
    <t>Nelson Mandela School</t>
  </si>
  <si>
    <t>Nelson Primary School</t>
  </si>
  <si>
    <t>New Hall Primary School</t>
  </si>
  <si>
    <t>New Oscott Primary School</t>
  </si>
  <si>
    <t>Newtown Nursery School</t>
  </si>
  <si>
    <t>Osborne Nursery School</t>
  </si>
  <si>
    <t>Park Hill Primary School</t>
  </si>
  <si>
    <t>Penns Primary School</t>
  </si>
  <si>
    <t>Perry Beeches Nursery School</t>
  </si>
  <si>
    <t>Priestley Smith School</t>
  </si>
  <si>
    <t>Raddlebarn Primary School</t>
  </si>
  <si>
    <t>Redhill Primary School</t>
  </si>
  <si>
    <t>Rednal Hill Infant School</t>
  </si>
  <si>
    <t>Rubery Nursery School</t>
  </si>
  <si>
    <t>Selly Oak Nursery School</t>
  </si>
  <si>
    <t>Severne Junior Infant and Nursery School</t>
  </si>
  <si>
    <t>Springfield House Community Special School</t>
  </si>
  <si>
    <t>St Alban's Catholic Primary School</t>
  </si>
  <si>
    <t>St Augustine's Catholic Primary School</t>
  </si>
  <si>
    <t>St Benedict's Primary School</t>
  </si>
  <si>
    <t>St Catherine of Siena Catholic Primary School</t>
  </si>
  <si>
    <t>St Clare's Catholic Primary School</t>
  </si>
  <si>
    <t>St Cuthbert's Catholic Primary School</t>
  </si>
  <si>
    <t>St Francis Catholic Primary School</t>
  </si>
  <si>
    <t>St James Church of England Primary School, Handsworth</t>
  </si>
  <si>
    <t>St John Wall Catholic School</t>
  </si>
  <si>
    <t>St Laurence Church Junior School</t>
  </si>
  <si>
    <t>St Martin de Porres Catholic Primary School</t>
  </si>
  <si>
    <t>St Mary's Church of England Primary School</t>
  </si>
  <si>
    <t>St Patrick and St Edmund's Catholic Primary School</t>
  </si>
  <si>
    <t>St Teresa's Catholic Primary School</t>
  </si>
  <si>
    <t>St Thomas Centre Nursery School</t>
  </si>
  <si>
    <t>St Vincent's Catholic Primary School</t>
  </si>
  <si>
    <t>The Meadows Primary School</t>
  </si>
  <si>
    <t>Thornton Primary School</t>
  </si>
  <si>
    <t>Ward End Primary School</t>
  </si>
  <si>
    <t>Weoley Castle Nursery School</t>
  </si>
  <si>
    <t>West Heath Nursery School</t>
  </si>
  <si>
    <t>West Heath Primary School</t>
  </si>
  <si>
    <t>Woodthorpe Junior and Infant School</t>
  </si>
  <si>
    <t>Yardley Wood Community Primary School</t>
  </si>
  <si>
    <t>Yorkmead Junior and Infant School</t>
  </si>
  <si>
    <t>Allens Croft Primary School</t>
  </si>
  <si>
    <t>Anglesey Primary School</t>
  </si>
  <si>
    <t>Bellfield Infant School (NC)</t>
  </si>
  <si>
    <t>Bordesley Green East Nursery School</t>
  </si>
  <si>
    <t>Braidwood School for the Deaf</t>
  </si>
  <si>
    <t>Calshot Primary School</t>
  </si>
  <si>
    <t>Cherry Orchard Primary School</t>
  </si>
  <si>
    <t>City of Birmingham School</t>
  </si>
  <si>
    <t>Clifton Primary School</t>
  </si>
  <si>
    <t>Colebourne Primary School</t>
  </si>
  <si>
    <t>Coppice Primary School</t>
  </si>
  <si>
    <t>Elms Farm Community Primary School</t>
  </si>
  <si>
    <t>English Martyrs' Catholic Primary School</t>
  </si>
  <si>
    <t>Four Oaks Primary School</t>
  </si>
  <si>
    <t>Fox Hollies School</t>
  </si>
  <si>
    <t>Gilbertstone Primary School</t>
  </si>
  <si>
    <t>Hall Green Infant School</t>
  </si>
  <si>
    <t>Hawthorn Primary School</t>
  </si>
  <si>
    <t>Ladypool Primary School</t>
  </si>
  <si>
    <t>Langley School</t>
  </si>
  <si>
    <t>Longwill Primary School for Deaf Children</t>
  </si>
  <si>
    <t>Maney Hill Primary School</t>
  </si>
  <si>
    <t>Minworth Junior and Infant School</t>
  </si>
  <si>
    <t>Our Lady and St Rose of Lima Catholic Primary School</t>
  </si>
  <si>
    <t>Our Lady of Lourdes Catholic Primary School</t>
  </si>
  <si>
    <t>Rednal Hill Junior School</t>
  </si>
  <si>
    <t>Regents Park Community Primary School</t>
  </si>
  <si>
    <t>Shaw Hill Primary School</t>
  </si>
  <si>
    <t>Somerville Primary (NC) School</t>
  </si>
  <si>
    <t>SS John &amp; Monica Catholic Primary School</t>
  </si>
  <si>
    <t>St Ambrose Barlow Catholic Primary School</t>
  </si>
  <si>
    <t>St Anne's Catholic Primary School</t>
  </si>
  <si>
    <t>St Bernadette's Catholic Primary School</t>
  </si>
  <si>
    <t>St Edward's Catholic Primary School</t>
  </si>
  <si>
    <t>St Gerard's Catholic Primary School</t>
  </si>
  <si>
    <t>St Margaret Mary Catholic Primary School</t>
  </si>
  <si>
    <t>St Mary's Catholic Primary School</t>
  </si>
  <si>
    <t>St Saviour's C of E Primary School</t>
  </si>
  <si>
    <t>Stanville Primary School</t>
  </si>
  <si>
    <t>Sundridge Primary School</t>
  </si>
  <si>
    <t>The Dame Ellen Pinsent School</t>
  </si>
  <si>
    <t>The Pines School</t>
  </si>
  <si>
    <t>Washwood Heath Nursery School</t>
  </si>
  <si>
    <t>Water Mill Primary School</t>
  </si>
  <si>
    <t>Welsh House Farm Community School and Special Needs Resources Base</t>
  </si>
  <si>
    <t>Woodcock Hill Primary School</t>
  </si>
  <si>
    <t>Woodgate Primary School</t>
  </si>
  <si>
    <t>World's End Infant and Nursery School</t>
  </si>
  <si>
    <t>Yardley Primary School</t>
  </si>
  <si>
    <t>Stechford Primary School</t>
  </si>
  <si>
    <t>DfE #</t>
  </si>
  <si>
    <t>URN</t>
  </si>
  <si>
    <t>School</t>
  </si>
  <si>
    <t>Phase</t>
  </si>
  <si>
    <t>School Type</t>
  </si>
  <si>
    <t>AX087</t>
  </si>
  <si>
    <t>Nursery</t>
  </si>
  <si>
    <t>Chq Bk</t>
  </si>
  <si>
    <t>AX008</t>
  </si>
  <si>
    <t>Primary</t>
  </si>
  <si>
    <t>AX00E</t>
  </si>
  <si>
    <t>Special</t>
  </si>
  <si>
    <t>AX08C</t>
  </si>
  <si>
    <t>Secondary</t>
  </si>
  <si>
    <t>AX08G</t>
  </si>
  <si>
    <t>AX00T</t>
  </si>
  <si>
    <t>AX08J</t>
  </si>
  <si>
    <t>AX08H</t>
  </si>
  <si>
    <t>AX08N</t>
  </si>
  <si>
    <t>AX010</t>
  </si>
  <si>
    <t>AX08U</t>
  </si>
  <si>
    <t>AX015</t>
  </si>
  <si>
    <t>AX017</t>
  </si>
  <si>
    <t>AX08W</t>
  </si>
  <si>
    <t>AX01A</t>
  </si>
  <si>
    <t>AX019</t>
  </si>
  <si>
    <t>AX091</t>
  </si>
  <si>
    <t>AX092</t>
  </si>
  <si>
    <t>AX093</t>
  </si>
  <si>
    <t>AX01J</t>
  </si>
  <si>
    <t>AX01Z</t>
  </si>
  <si>
    <t>AX027</t>
  </si>
  <si>
    <t>AX02H</t>
  </si>
  <si>
    <t>AX0A1</t>
  </si>
  <si>
    <t>AX0A2</t>
  </si>
  <si>
    <t>AX0A4</t>
  </si>
  <si>
    <t>AX032</t>
  </si>
  <si>
    <t>AX03L</t>
  </si>
  <si>
    <t>AX0AN</t>
  </si>
  <si>
    <t>AX03N</t>
  </si>
  <si>
    <t>AX03P</t>
  </si>
  <si>
    <t>AX03V</t>
  </si>
  <si>
    <t>AX03X</t>
  </si>
  <si>
    <t>AX041</t>
  </si>
  <si>
    <t>AX0AW</t>
  </si>
  <si>
    <t>AX04C</t>
  </si>
  <si>
    <t>AX0BD</t>
  </si>
  <si>
    <t>AX0BK</t>
  </si>
  <si>
    <t>AX0BL</t>
  </si>
  <si>
    <t>AX056</t>
  </si>
  <si>
    <t>AX0BR</t>
  </si>
  <si>
    <t>AX05Q</t>
  </si>
  <si>
    <t>AX066</t>
  </si>
  <si>
    <t>AX067</t>
  </si>
  <si>
    <t>AX06F</t>
  </si>
  <si>
    <t>AX0C4</t>
  </si>
  <si>
    <t>AX06L</t>
  </si>
  <si>
    <t>AX049</t>
  </si>
  <si>
    <t>AX07A</t>
  </si>
  <si>
    <t>AX0CG</t>
  </si>
  <si>
    <t>AX0CH</t>
  </si>
  <si>
    <t>AX0CJ</t>
  </si>
  <si>
    <t>AX0CL</t>
  </si>
  <si>
    <t>AX07P</t>
  </si>
  <si>
    <t>AX07N</t>
  </si>
  <si>
    <t>AX07T</t>
  </si>
  <si>
    <t>AX0CQ</t>
  </si>
  <si>
    <t>AX07Y</t>
  </si>
  <si>
    <t>AX07Q</t>
  </si>
  <si>
    <t>AX036</t>
  </si>
  <si>
    <t>AX05K</t>
  </si>
  <si>
    <t>AX085</t>
  </si>
  <si>
    <t>AX02R</t>
  </si>
  <si>
    <t>AX001</t>
  </si>
  <si>
    <t>AX01Q</t>
  </si>
  <si>
    <t>AX002</t>
  </si>
  <si>
    <t>AX006</t>
  </si>
  <si>
    <t>AX00C</t>
  </si>
  <si>
    <t>AX00F</t>
  </si>
  <si>
    <t>AX04L</t>
  </si>
  <si>
    <t>AX04M</t>
  </si>
  <si>
    <t>AX00H</t>
  </si>
  <si>
    <t>AX00J</t>
  </si>
  <si>
    <t>AX00Q</t>
  </si>
  <si>
    <t>AX00R</t>
  </si>
  <si>
    <t>AX00X</t>
  </si>
  <si>
    <t>AX00Z</t>
  </si>
  <si>
    <t>AX014</t>
  </si>
  <si>
    <t>AX01D</t>
  </si>
  <si>
    <t>AX01H</t>
  </si>
  <si>
    <t>AX01X</t>
  </si>
  <si>
    <t>AX01W</t>
  </si>
  <si>
    <t>AX023</t>
  </si>
  <si>
    <t>AX025</t>
  </si>
  <si>
    <t>AX028</t>
  </si>
  <si>
    <t>AX029</t>
  </si>
  <si>
    <t>AX02C</t>
  </si>
  <si>
    <t>AX02D</t>
  </si>
  <si>
    <t>AX02F</t>
  </si>
  <si>
    <t>AX02K</t>
  </si>
  <si>
    <t>AX02L</t>
  </si>
  <si>
    <t>AX09P</t>
  </si>
  <si>
    <t>AX02P</t>
  </si>
  <si>
    <t>AX02U</t>
  </si>
  <si>
    <t>AX02V</t>
  </si>
  <si>
    <t>AX02Y</t>
  </si>
  <si>
    <t>AX0A7</t>
  </si>
  <si>
    <t>AX035</t>
  </si>
  <si>
    <t>AX037</t>
  </si>
  <si>
    <t>AX03A</t>
  </si>
  <si>
    <t>AX03B</t>
  </si>
  <si>
    <t>AX03C</t>
  </si>
  <si>
    <t>AX03D</t>
  </si>
  <si>
    <t>AX03J</t>
  </si>
  <si>
    <t>AX03K</t>
  </si>
  <si>
    <t>AX03R</t>
  </si>
  <si>
    <t>AX03W</t>
  </si>
  <si>
    <t>AX042</t>
  </si>
  <si>
    <t>AX044</t>
  </si>
  <si>
    <t>AX043</t>
  </si>
  <si>
    <t>AX045</t>
  </si>
  <si>
    <t>AX046</t>
  </si>
  <si>
    <t>AX047</t>
  </si>
  <si>
    <t>AX04B</t>
  </si>
  <si>
    <t>AX04J</t>
  </si>
  <si>
    <t>AX04K</t>
  </si>
  <si>
    <t>AX04N</t>
  </si>
  <si>
    <t>AX04Q</t>
  </si>
  <si>
    <t>AX04V</t>
  </si>
  <si>
    <t>AX04W</t>
  </si>
  <si>
    <t>AX04X</t>
  </si>
  <si>
    <t>AX052</t>
  </si>
  <si>
    <t>AX053</t>
  </si>
  <si>
    <t>AX054</t>
  </si>
  <si>
    <t>AX05A</t>
  </si>
  <si>
    <t>AX05C</t>
  </si>
  <si>
    <t>AX05F</t>
  </si>
  <si>
    <t>AX05H</t>
  </si>
  <si>
    <t>AX05L</t>
  </si>
  <si>
    <t>AX05N</t>
  </si>
  <si>
    <t>AX05P</t>
  </si>
  <si>
    <t>AX05V</t>
  </si>
  <si>
    <t>AX05Z</t>
  </si>
  <si>
    <t>AX063</t>
  </si>
  <si>
    <t>AX068</t>
  </si>
  <si>
    <t>AX06B</t>
  </si>
  <si>
    <t>AX06D</t>
  </si>
  <si>
    <t>AX06H</t>
  </si>
  <si>
    <t>AX06P</t>
  </si>
  <si>
    <t>AX06R</t>
  </si>
  <si>
    <t>AX06U</t>
  </si>
  <si>
    <t>AX03Z</t>
  </si>
  <si>
    <t>AX075</t>
  </si>
  <si>
    <t>AX07B</t>
  </si>
  <si>
    <t>AX07J</t>
  </si>
  <si>
    <t>AX07K</t>
  </si>
  <si>
    <t>AX07L</t>
  </si>
  <si>
    <t>AX07W</t>
  </si>
  <si>
    <t>AX081</t>
  </si>
  <si>
    <t>AX083</t>
  </si>
  <si>
    <t>AX004</t>
  </si>
  <si>
    <t>AX007</t>
  </si>
  <si>
    <t>AX00G</t>
  </si>
  <si>
    <t>AX00U</t>
  </si>
  <si>
    <t>AX00Y</t>
  </si>
  <si>
    <t>AX013</t>
  </si>
  <si>
    <t>AX018</t>
  </si>
  <si>
    <t>AX073</t>
  </si>
  <si>
    <t>Pupil referral unit</t>
  </si>
  <si>
    <t>AX01B</t>
  </si>
  <si>
    <t>AX01E</t>
  </si>
  <si>
    <t>AX01G</t>
  </si>
  <si>
    <t>AX01R</t>
  </si>
  <si>
    <t>AX01T</t>
  </si>
  <si>
    <t>AX020</t>
  </si>
  <si>
    <t>AX021</t>
  </si>
  <si>
    <t>AX026</t>
  </si>
  <si>
    <t>AX02G</t>
  </si>
  <si>
    <t>AX02M</t>
  </si>
  <si>
    <t>AX03E</t>
  </si>
  <si>
    <t>AX03G</t>
  </si>
  <si>
    <t>AX03M</t>
  </si>
  <si>
    <t>AX03Q</t>
  </si>
  <si>
    <t>AX040</t>
  </si>
  <si>
    <t>AX04D</t>
  </si>
  <si>
    <t>AX04E</t>
  </si>
  <si>
    <t>AX04Y</t>
  </si>
  <si>
    <t>AX04Z</t>
  </si>
  <si>
    <t>AX055</t>
  </si>
  <si>
    <t>AX059</t>
  </si>
  <si>
    <t>AX061</t>
  </si>
  <si>
    <t>AX05D</t>
  </si>
  <si>
    <t>AX05E</t>
  </si>
  <si>
    <t>AX05J</t>
  </si>
  <si>
    <t>AX05U</t>
  </si>
  <si>
    <t>AX05Y</t>
  </si>
  <si>
    <t>AX069</t>
  </si>
  <si>
    <t>AX06E</t>
  </si>
  <si>
    <t>AX06N</t>
  </si>
  <si>
    <t>AX06W</t>
  </si>
  <si>
    <t>AX072</t>
  </si>
  <si>
    <t>AX01M</t>
  </si>
  <si>
    <t>AX04P</t>
  </si>
  <si>
    <t>AX07D</t>
  </si>
  <si>
    <t>AX07E</t>
  </si>
  <si>
    <t>AX07H</t>
  </si>
  <si>
    <t>AX07U</t>
  </si>
  <si>
    <t>AX07V</t>
  </si>
  <si>
    <t>AX07X</t>
  </si>
  <si>
    <t>AX080</t>
  </si>
  <si>
    <t>AX06Y</t>
  </si>
  <si>
    <t>Quarter 1</t>
  </si>
  <si>
    <t>Quarter 2</t>
  </si>
  <si>
    <t>Quarter 4</t>
  </si>
  <si>
    <t>If the school has raised a debtor accrual and is expecting monies for the accrual to be paid from the bank by 31 March 2025 please enter Yes in tab Accruals column K. If Yes this total will then be prepopulated in tab CFR Return cell F190. Check that cell F190 includes the correct amount.</t>
  </si>
  <si>
    <t>School Budget Plan</t>
  </si>
  <si>
    <t>YTD</t>
  </si>
  <si>
    <t>Forecst</t>
  </si>
  <si>
    <t>Forecast</t>
  </si>
  <si>
    <t>Variance</t>
  </si>
  <si>
    <t xml:space="preserve">Budget - Forecast Variance  </t>
  </si>
  <si>
    <t>(£)</t>
  </si>
  <si>
    <t>Payroll check - BCC schools only</t>
  </si>
  <si>
    <t>Pay costs as per Payment schedule (actual September estimate)</t>
  </si>
  <si>
    <t>Total cash balance at the end of Q2 (incl real cash and psuedo cash)</t>
  </si>
  <si>
    <t>Debtors Non BCC</t>
  </si>
  <si>
    <t>Debtors BCC</t>
  </si>
  <si>
    <t>Payment_in_advance Non BCC</t>
  </si>
  <si>
    <t>Payment_in_advance BCC</t>
  </si>
  <si>
    <t>Creditors Non BCC</t>
  </si>
  <si>
    <t>Creditors BCC</t>
  </si>
  <si>
    <t>Income_in_advance Non BCC</t>
  </si>
  <si>
    <t>Income_in_advance BCC</t>
  </si>
  <si>
    <t>Non BCC Payroll Creditor -  costs</t>
  </si>
  <si>
    <t>Pay costs as per code E1-E8 and E31 - CFR Income and Expenditure 
(excluding accruals, as no accruals are expected for BCC payroll)</t>
  </si>
  <si>
    <t>Deduct physical cash balance already included at I135</t>
  </si>
  <si>
    <t>Debtor accrual relating to monies expecting in bank by 30 June 2025</t>
  </si>
  <si>
    <t>Creditor accrual relating to monies expecting to be out of bank by 30 June  2025</t>
  </si>
  <si>
    <t>Net ''cash''balance at the end of Q1</t>
  </si>
  <si>
    <t>Total in year pseudo bank bal at end of Q1</t>
  </si>
  <si>
    <t>Budget 2025-26</t>
  </si>
  <si>
    <t xml:space="preserve">LA Data Sheet - 2025-26 </t>
  </si>
  <si>
    <t xml:space="preserve"> Quarter 1 2025-26</t>
  </si>
  <si>
    <t>E20A</t>
  </si>
  <si>
    <t>E20B</t>
  </si>
  <si>
    <t>E20C</t>
  </si>
  <si>
    <t>E20D</t>
  </si>
  <si>
    <t>E20E</t>
  </si>
  <si>
    <t>E20F</t>
  </si>
  <si>
    <t>E20G</t>
  </si>
  <si>
    <t>CE04A</t>
  </si>
  <si>
    <t>CE04B</t>
  </si>
  <si>
    <t>CE04C</t>
  </si>
  <si>
    <t>CE04D</t>
  </si>
  <si>
    <t>CE04E</t>
  </si>
  <si>
    <t>Onsite servers</t>
  </si>
  <si>
    <t>IT learning resources</t>
  </si>
  <si>
    <t>Connectivity</t>
  </si>
  <si>
    <t>Administration software and systems</t>
  </si>
  <si>
    <t>Laptops, desktops and tablets</t>
  </si>
  <si>
    <t>Other hardware</t>
  </si>
  <si>
    <t>IT support</t>
  </si>
  <si>
    <t>Laptops, desktops, and tablets</t>
  </si>
  <si>
    <t>Kings Heath Secondary School</t>
  </si>
  <si>
    <t>Actuals</t>
  </si>
  <si>
    <t>2025/26 Schools LA Funding Statement</t>
  </si>
  <si>
    <t>In-year Academy Conversions</t>
  </si>
  <si>
    <t>Full Year</t>
  </si>
  <si>
    <t>Chq bk</t>
  </si>
  <si>
    <t>EPA</t>
  </si>
  <si>
    <t>Non Chq Bk</t>
  </si>
  <si>
    <t>Schools Finance Budget Monitoring - Closure 2024-25</t>
  </si>
  <si>
    <t>LA Data Sheet - 2024-25 Outturn</t>
  </si>
  <si>
    <t>VAT Reimbursement Outstanding - Feb 2022</t>
  </si>
  <si>
    <t>VAT Reimbursement Outstanding - Mar 2022</t>
  </si>
  <si>
    <t>Payment in advance Non BCC</t>
  </si>
  <si>
    <t>Payment in advance BCC</t>
  </si>
  <si>
    <t>Income in advance Non BCC</t>
  </si>
  <si>
    <t>Income in advance BCC</t>
  </si>
  <si>
    <t>NON BCC Payroll March creditor balance</t>
  </si>
  <si>
    <t>Employes</t>
  </si>
  <si>
    <t>Running</t>
  </si>
  <si>
    <t>Agency</t>
  </si>
  <si>
    <t>Sales, Fees &amp; charges</t>
  </si>
  <si>
    <t>Other income</t>
  </si>
  <si>
    <t>System Accruals</t>
  </si>
  <si>
    <t>Check</t>
  </si>
  <si>
    <t>2024-25 Outturn</t>
  </si>
  <si>
    <t>Final Accounts</t>
  </si>
  <si>
    <t>784,552.79</t>
  </si>
  <si>
    <t>181,585.30</t>
  </si>
  <si>
    <t>0.00</t>
  </si>
  <si>
    <t>351,829.02</t>
  </si>
  <si>
    <t>164,136.54</t>
  </si>
  <si>
    <t>TOTAL</t>
  </si>
  <si>
    <t>2025-26 
Actual Year to Date 
Position 
(£)</t>
  </si>
  <si>
    <t xml:space="preserve"> Mandatory comment for variance &amp; any additional information </t>
  </si>
  <si>
    <t>VAT Reimbursement Outstanding - June 2025</t>
  </si>
  <si>
    <t>-External payroll provider schools only - Provide a breakdown of pay costs between Basic, ER Super and Er NI within tab Non BCC Payroll Schools;</t>
  </si>
  <si>
    <t>Ensure there is no difference within cell Q172, within tab CFR Return. This cell is a reconciliation between the top and bottom parts of the CFR. Any differences must be corrected before submitting to Schools Finance.</t>
  </si>
  <si>
    <t>Establishment</t>
  </si>
  <si>
    <t>2024-25</t>
  </si>
  <si>
    <t>Establishment Information</t>
  </si>
  <si>
    <t xml:space="preserve">Needs to be completed by every schools </t>
  </si>
  <si>
    <t xml:space="preserve">Teaching staff  </t>
  </si>
  <si>
    <t xml:space="preserve">Non Teaching staff  </t>
  </si>
  <si>
    <t xml:space="preserve">Teaching staff FTE </t>
  </si>
  <si>
    <t>Non teaching Staff FTE</t>
  </si>
  <si>
    <t>Employers National Insurance</t>
  </si>
  <si>
    <t>Employers Pension Contribution</t>
  </si>
  <si>
    <t>Apprenticeship Levy</t>
  </si>
  <si>
    <t>Voluntary Redundancy</t>
  </si>
  <si>
    <t>Compulsory Redundancy</t>
  </si>
  <si>
    <t>£0.00 - £39,999</t>
  </si>
  <si>
    <t>£40,000 - £49,999</t>
  </si>
  <si>
    <t>£50,000 - £59,999</t>
  </si>
  <si>
    <t>£60,000 - £69,999</t>
  </si>
  <si>
    <t>£70,000 - £79,999</t>
  </si>
  <si>
    <t>£80,000 - £89,999</t>
  </si>
  <si>
    <t>£90,000 - £99,999</t>
  </si>
  <si>
    <t>£100,000 - £109,999</t>
  </si>
  <si>
    <t>£110,000 - 119,999</t>
  </si>
  <si>
    <t>£120,000 +</t>
  </si>
  <si>
    <t>£</t>
  </si>
  <si>
    <t xml:space="preserve">Contingent Assets and Liabilities </t>
  </si>
  <si>
    <t>No of claims</t>
  </si>
  <si>
    <t>Provisions £</t>
  </si>
  <si>
    <t xml:space="preserve">Cash Sheet - YTD </t>
  </si>
  <si>
    <r>
      <rPr>
        <b/>
        <sz val="8"/>
        <rFont val="Arial"/>
        <family val="2"/>
      </rPr>
      <t xml:space="preserve">Additional Expenditure:
</t>
    </r>
    <r>
      <rPr>
        <sz val="8"/>
        <color theme="3"/>
        <rFont val="Arial"/>
        <family val="2"/>
      </rPr>
      <t>Current month</t>
    </r>
    <r>
      <rPr>
        <sz val="8"/>
        <rFont val="Arial"/>
        <family val="2"/>
      </rPr>
      <t xml:space="preserve">
Previous month
</t>
    </r>
    <r>
      <rPr>
        <b/>
        <sz val="8"/>
        <rFont val="Arial"/>
        <family val="2"/>
      </rPr>
      <t xml:space="preserve">Reduction in Expenditure:
</t>
    </r>
    <r>
      <rPr>
        <sz val="8"/>
        <color theme="3"/>
        <rFont val="Arial"/>
        <family val="2"/>
      </rPr>
      <t>Current month</t>
    </r>
    <r>
      <rPr>
        <b/>
        <sz val="8"/>
        <rFont val="Arial"/>
        <family val="2"/>
      </rPr>
      <t xml:space="preserve">
</t>
    </r>
    <r>
      <rPr>
        <sz val="8"/>
        <rFont val="Arial"/>
        <family val="2"/>
      </rPr>
      <t>Previous month</t>
    </r>
  </si>
  <si>
    <r>
      <rPr>
        <b/>
        <sz val="8"/>
        <rFont val="Arial"/>
        <family val="2"/>
      </rPr>
      <t xml:space="preserve">Additional Income:
</t>
    </r>
    <r>
      <rPr>
        <sz val="8"/>
        <color theme="3"/>
        <rFont val="Arial"/>
        <family val="2"/>
      </rPr>
      <t>Current month</t>
    </r>
    <r>
      <rPr>
        <sz val="8"/>
        <rFont val="Arial"/>
        <family val="2"/>
      </rPr>
      <t xml:space="preserve">
Previous month
</t>
    </r>
    <r>
      <rPr>
        <b/>
        <sz val="8"/>
        <rFont val="Arial"/>
        <family val="2"/>
      </rPr>
      <t xml:space="preserve">Reduction in Income:
</t>
    </r>
    <r>
      <rPr>
        <sz val="8"/>
        <color theme="3"/>
        <rFont val="Arial"/>
        <family val="2"/>
      </rPr>
      <t>Current month</t>
    </r>
    <r>
      <rPr>
        <b/>
        <sz val="8"/>
        <rFont val="Arial"/>
        <family val="2"/>
      </rPr>
      <t xml:space="preserve">
</t>
    </r>
    <r>
      <rPr>
        <sz val="8"/>
        <rFont val="Arial"/>
        <family val="2"/>
      </rPr>
      <t>Previous month</t>
    </r>
  </si>
  <si>
    <t>Budget Monitoring Report</t>
  </si>
  <si>
    <t>Month:</t>
  </si>
  <si>
    <t>2025-26</t>
  </si>
  <si>
    <t>COLUMNS FOR PREVIOUS MONTH NOTES</t>
  </si>
  <si>
    <t>Period</t>
  </si>
  <si>
    <t>YTD Totals</t>
  </si>
  <si>
    <t>Full Year Analysis</t>
  </si>
  <si>
    <t>Prior Month</t>
  </si>
  <si>
    <t>REVENUE</t>
  </si>
  <si>
    <t>Actual</t>
  </si>
  <si>
    <t>Current Budget</t>
  </si>
  <si>
    <t>% Variance</t>
  </si>
  <si>
    <t>2024-25 Out turn</t>
  </si>
  <si>
    <t>2025-26 Signed Budget</t>
  </si>
  <si>
    <t>2025-26 Current Budget</t>
  </si>
  <si>
    <t>Total to date</t>
  </si>
  <si>
    <t>Additional commitment</t>
  </si>
  <si>
    <t>Projected Budget Outturn</t>
  </si>
  <si>
    <t>Variance to Signed Budget</t>
  </si>
  <si>
    <t>Previous Projected Out turn</t>
  </si>
  <si>
    <t>Variance to Current</t>
  </si>
  <si>
    <t>Notes</t>
  </si>
  <si>
    <t>Teaching Staff</t>
  </si>
  <si>
    <t>E01: Teaching staff</t>
  </si>
  <si>
    <t>E02: Supply teaching staff</t>
  </si>
  <si>
    <t>E26: Agency teaching supply staff</t>
  </si>
  <si>
    <t>Total Teaching Staff</t>
  </si>
  <si>
    <t>Education Support Staff</t>
  </si>
  <si>
    <t>E03: Education support staff</t>
  </si>
  <si>
    <t>E27z: Agency education support staff</t>
  </si>
  <si>
    <t>Total Education Support Staff</t>
  </si>
  <si>
    <t>Support Staff</t>
  </si>
  <si>
    <t>E04: Premises staff</t>
  </si>
  <si>
    <t>E05: Administrative &amp; clerical staff</t>
  </si>
  <si>
    <t>E06: Catering staff</t>
  </si>
  <si>
    <t>E07: Cost of other staff</t>
  </si>
  <si>
    <t>E28z: Agency other support staff</t>
  </si>
  <si>
    <t xml:space="preserve">Total Support Staff </t>
  </si>
  <si>
    <t>Non: pay Staff costs</t>
  </si>
  <si>
    <t>E08: Indirect employee expenses</t>
  </si>
  <si>
    <t>E09: Staff development &amp; training</t>
  </si>
  <si>
    <t>E10: Supply teacher insurance</t>
  </si>
  <si>
    <t>E11: Staff related insurance</t>
  </si>
  <si>
    <t xml:space="preserve">Total Non-pay staff costs </t>
  </si>
  <si>
    <t>Premises</t>
  </si>
  <si>
    <t>E12: Building maintenance &amp; improvement</t>
  </si>
  <si>
    <t>E13: Grounds maintenance &amp; improvement</t>
  </si>
  <si>
    <t>E14: Cleaning &amp; caretaking</t>
  </si>
  <si>
    <t>E15: Water &amp; sewerage</t>
  </si>
  <si>
    <t>E16: Energy</t>
  </si>
  <si>
    <t>E17: Rates</t>
  </si>
  <si>
    <t>E18: Other Occupation Costs</t>
  </si>
  <si>
    <t>E23: Other insurance premiums</t>
  </si>
  <si>
    <t xml:space="preserve">Total Premises </t>
  </si>
  <si>
    <t>Learning Resources</t>
  </si>
  <si>
    <t>E19: Learning resources</t>
  </si>
  <si>
    <t>E20A: Connectivity</t>
  </si>
  <si>
    <t>E20B: Onsite Servers</t>
  </si>
  <si>
    <t>E20C: IT Learning Resources</t>
  </si>
  <si>
    <t>E20D: Administration Software and Syatems</t>
  </si>
  <si>
    <t>E20E: Laptops Desktops and Tablets</t>
  </si>
  <si>
    <t>E20F: Other hardware</t>
  </si>
  <si>
    <t>E20G: IT Suppoprt</t>
  </si>
  <si>
    <t>E27: Bought in professional services: Curric</t>
  </si>
  <si>
    <t>Total Learning Resources</t>
  </si>
  <si>
    <t>Other Supplies &amp; Services</t>
  </si>
  <si>
    <t>E22: Administrative supplies</t>
  </si>
  <si>
    <t>E24: Special facilities</t>
  </si>
  <si>
    <t>E25: Catering supplies</t>
  </si>
  <si>
    <t>E28a: Bought in professional services: Other</t>
  </si>
  <si>
    <t>E28b: Bought in professional services: PFI</t>
  </si>
  <si>
    <t>E29: Loan interest</t>
  </si>
  <si>
    <t>E30: Direct revenue financing</t>
  </si>
  <si>
    <t>Total Other Supplies &amp; Services</t>
  </si>
  <si>
    <t xml:space="preserve">Extended School </t>
  </si>
  <si>
    <t xml:space="preserve">E31: Community focused school staff </t>
  </si>
  <si>
    <t>E32: Community focused school costs</t>
  </si>
  <si>
    <t xml:space="preserve">Total Extended School </t>
  </si>
  <si>
    <t>Variance to signed budget</t>
  </si>
  <si>
    <t>Delegated Schools Block</t>
  </si>
  <si>
    <t>I01: Funds delegated by the LA</t>
  </si>
  <si>
    <t>I01x: Early years funds delegated by the LA</t>
  </si>
  <si>
    <t>I02: Funding for sixth form students</t>
  </si>
  <si>
    <t>I03: High needs top: up funding (Not Special Schools)</t>
  </si>
  <si>
    <t>I04: Funding for minority ethnic pupils</t>
  </si>
  <si>
    <t>I05: Pupil premium</t>
  </si>
  <si>
    <t>Total Delegated Schools Block</t>
  </si>
  <si>
    <t>Other Income and Grants</t>
  </si>
  <si>
    <t>I06: Other government grants</t>
  </si>
  <si>
    <t>I07: Other grants and payments received</t>
  </si>
  <si>
    <t>I08a: Income from letting premises</t>
  </si>
  <si>
    <t>I08b: Income: facilities and services</t>
  </si>
  <si>
    <t>I09: Income: catering</t>
  </si>
  <si>
    <t>I10: Receipts: supply teacher insurance claims</t>
  </si>
  <si>
    <t>I11: Receipts: other insurance claims</t>
  </si>
  <si>
    <t>I12: Income: contributions to visits, etc</t>
  </si>
  <si>
    <t>I13: Donations/private funds</t>
  </si>
  <si>
    <t xml:space="preserve">I15: Pupil focused extended school funding and/or grants </t>
  </si>
  <si>
    <t>I16: Community focused extended sch funding and/or grants</t>
  </si>
  <si>
    <t xml:space="preserve">I17: Community focused extended sch facilities income </t>
  </si>
  <si>
    <t xml:space="preserve">Total Other Income and Grants </t>
  </si>
  <si>
    <t>IN YEAR SURPLUS/(DEFICIT)</t>
  </si>
  <si>
    <t>Carry Forwards</t>
  </si>
  <si>
    <t>B01: Committed revenue balance</t>
  </si>
  <si>
    <t>B02: Uncommitted revenue balances</t>
  </si>
  <si>
    <t xml:space="preserve">B06: Community focused school revenue balances </t>
  </si>
  <si>
    <t>TOTAL REVENUE BALANCES</t>
  </si>
  <si>
    <t xml:space="preserve">Unconfirmed Other Adjustments </t>
  </si>
  <si>
    <t>Ratified In Year surplus/(deficit) Y1</t>
  </si>
  <si>
    <t>Ratified Carry Forward Y1 surplus/(deficit)</t>
  </si>
  <si>
    <t>Current In Year surplus/(deficit) Y1</t>
  </si>
  <si>
    <t>Current Carry Forward Y1 surplus/(deficit)</t>
  </si>
  <si>
    <t>In Year surplus/(deficit) Y2</t>
  </si>
  <si>
    <t>Revised Carry Forward Y2 surplus/(deficit)</t>
  </si>
  <si>
    <t xml:space="preserve">Capital </t>
  </si>
  <si>
    <t>Capital Expenditure</t>
  </si>
  <si>
    <t>CE01: Acquisition of land and existing buildings</t>
  </si>
  <si>
    <t>CE02: New construction, conversion, and renovation</t>
  </si>
  <si>
    <t>CE03: Vehicles, plant, equipment and machinery</t>
  </si>
  <si>
    <t>Total Capital Expenditure</t>
  </si>
  <si>
    <t>CI01: Capital Income</t>
  </si>
  <si>
    <t>CI03: Voluntary Or Private Income</t>
  </si>
  <si>
    <t>CI04: Direct Revenue Financing</t>
  </si>
  <si>
    <t>Total Capital Income</t>
  </si>
  <si>
    <t>B03: Devolved formula capital balances</t>
  </si>
  <si>
    <t>B05: Other capital balances</t>
  </si>
  <si>
    <t>TOTAL CAPITAL BALANCE</t>
  </si>
  <si>
    <t>E21: Exam Fees</t>
  </si>
  <si>
    <t>CE04a: Connectivity (ICT)</t>
  </si>
  <si>
    <t>CE04b:Onsite servers (ICT)</t>
  </si>
  <si>
    <t>CE04c:Administration software and systems (ICT)</t>
  </si>
  <si>
    <t>CE04d:Laptops, desktops, and tablets (ICT)</t>
  </si>
  <si>
    <t>CE04e:Other hardware (ICT)</t>
  </si>
  <si>
    <t>&lt;&lt;&lt;&lt;&lt;&lt;&lt;</t>
  </si>
  <si>
    <t>SELECT SCHOOL HERE (CFR Tab)</t>
  </si>
  <si>
    <t xml:space="preserve">Training School </t>
  </si>
  <si>
    <t>Training School</t>
  </si>
  <si>
    <t>Other adjustments (PFI Schools ONLY)</t>
  </si>
  <si>
    <t>-BCC payroll schools only - Ensure there is no difference with the payroll control total, cell F179 within tab CFR Return. If there is a difference provide  a clear explanation under cell G180. Schools Finance only expects differences in relation to invoices paid to external bodies mainly under E08.  School pay costs should be in line with the payment schedule dated 01 September 2025.</t>
  </si>
  <si>
    <t>Submit a copy of all Outstanding VAT returns as at 30 September 2025 verifying the amounts included in the return, tab CFR Return, cells I139-I140.</t>
  </si>
  <si>
    <t>Academy</t>
  </si>
  <si>
    <t xml:space="preserve">SELECT SCHOOL HERE </t>
  </si>
  <si>
    <t>Cash Advances paid to schools outside of budget share</t>
  </si>
  <si>
    <t>Backup:</t>
  </si>
  <si>
    <t>https://birminghamcitycouncil.sharepoint.com/sites/SchoolFairfundingTeam/Shared%20Documents/Schools%20Funding%20Team%202025-26/School%20Funding/Cash%20Advances/P1%20April</t>
  </si>
  <si>
    <t>https://birminghamcitycouncil.sharepoint.com/sites/SchoolFairfundingTeam/Shared%20Documents/Schools%20Funding%20Team%202025-26/School%20Funding/Cash%20Advances/P2%20May</t>
  </si>
  <si>
    <t>https://birminghamcitycouncil.sharepoint.com/sites/SchoolFairfundingTeam/Shared%20Documents/Schools%20Funding%20Team%202025-26/School%20Funding/Cash%20Advances/P3%20Jun</t>
  </si>
  <si>
    <t>https://birminghamcitycouncil.sharepoint.com/sites/SchoolFairfundingTeam/Shared%20Documents/Schools%20Funding%20Team%202025-26/School%20Funding/Cash%20Advances/P4%20Jul</t>
  </si>
  <si>
    <t>External Banking Deficits Owed</t>
  </si>
  <si>
    <t>Budget Share Advances</t>
  </si>
  <si>
    <t>Bank</t>
  </si>
  <si>
    <t>Final 24/25 Revenue Balance</t>
  </si>
  <si>
    <t>Final 24/25 Capital Balance</t>
  </si>
  <si>
    <t>Final 24/25 Reserve Position</t>
  </si>
  <si>
    <t>Deficit to be repaid by school</t>
  </si>
  <si>
    <t>Total amount owed by school</t>
  </si>
  <si>
    <t>External</t>
  </si>
  <si>
    <t>Barclays</t>
  </si>
  <si>
    <t xml:space="preserve"> Barclays</t>
  </si>
  <si>
    <t>Control Check</t>
  </si>
  <si>
    <t>Revised 2025/26 Approved School Budget Plan after virements</t>
  </si>
  <si>
    <t xml:space="preserve">2025/26 Approved School Budget Plan Virements 
</t>
  </si>
  <si>
    <t xml:space="preserve">2025/26 Approved School Budget Plan - Original
</t>
  </si>
  <si>
    <t>Birmingham Financial Monitoring Return 2025/26</t>
  </si>
  <si>
    <t xml:space="preserve">2024/25 Outturn 
</t>
  </si>
  <si>
    <t xml:space="preserve">Non-Cash Sheet - YTD </t>
  </si>
  <si>
    <t xml:space="preserve">2025/26
Actual Year to Date 
Position 
</t>
  </si>
  <si>
    <t xml:space="preserve">2025/26 Forecast Year End Position at Q3    </t>
  </si>
  <si>
    <t xml:space="preserve"> % Actual compared to Total Inc/Exp </t>
  </si>
  <si>
    <t>-Complete Outstanding VAT balances (December 2025 and any prior months not yet reimbursed) within tab CFR Return;</t>
  </si>
  <si>
    <t xml:space="preserve">Submit a copy of all bank reconciliation as at 31 December  2025 and listing of unreconciled transactions verifying the amounts have been included in the return, tab CFR Return, cells K133-K134 for the main bank account and cells S133-S134 for any additional accounts. </t>
  </si>
  <si>
    <t>Complete and submit a signed copy of the return that has been signed by the headteacher on the 2. CFR Return tab.</t>
  </si>
  <si>
    <t>Schools Finance reviewed by:</t>
  </si>
  <si>
    <t>Quarter 3 2025/26 Financial Monitoring Return Checklist</t>
  </si>
  <si>
    <t>-Complete 2025-26 Non-Cash Sheet YTD position within the tab CFR Return</t>
  </si>
  <si>
    <t>Completed template in Excel format</t>
  </si>
  <si>
    <t>Position:</t>
  </si>
  <si>
    <t>Date Completed (dd/mm/yyyy):</t>
  </si>
  <si>
    <t>Name Completed by:</t>
  </si>
  <si>
    <t>Completed (Y / N / N/A)</t>
  </si>
  <si>
    <t xml:space="preserve">BANK POSITION - ADDITIONAL </t>
  </si>
  <si>
    <t>I08</t>
  </si>
  <si>
    <t>C101</t>
  </si>
  <si>
    <t>Total</t>
  </si>
  <si>
    <t>VAT Reimbursement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</si>
</sst>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43" formatCode="_-* #,##0.00_-;\-* #,##0.00_-;_-* &quot;-&quot;??_-;_-@_-"/>
    <numFmt numFmtId="164" formatCode="_-* #,##0_-;\-* #,##0_-;_-* &quot;-&quot;??_-;_-@_-"/>
    <numFmt numFmtId="165" formatCode="#,##0_ ;\(#,##0\);_-* &quot;-&quot;??_-"/>
    <numFmt numFmtId="166" formatCode="#,##0.00;\(#,##0.00\)"/>
    <numFmt numFmtId="167" formatCode="#,##0;\(#,##0\)"/>
    <numFmt numFmtId="168" formatCode="#,##0_ ;[Red]\-#,##0\ "/>
    <numFmt numFmtId="169" formatCode="#,##0.00_ ;[Red]\-#,##0.00\ "/>
    <numFmt numFmtId="170" formatCode="#,##0_ ;\-#,##0\ "/>
    <numFmt numFmtId="171" formatCode="_-[$£-809]* #,##0.00_-;\-[$£-809]* #,##0.00_-;_-[$£-809]* &quot;-&quot;??_-;_-@_-"/>
    <numFmt numFmtId="172" formatCode="#,##0.00_ ;[Red]\(#,##0.00\)"/>
    <numFmt numFmtId="173" formatCode="#,##0.00;[Red]#,##0.00"/>
    <numFmt numFmtId="174" formatCode="0%;[Red]\(0%\)"/>
    <numFmt numFmtId="175" formatCode="#,##0.00_ ;[Red]\(#,##0.00\)\ "/>
  </numFmts>
  <fonts count="68">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b/>
      <i/>
      <sz val="11"/>
      <color theme="1"/>
      <name val="Arial"/>
      <family val="2"/>
    </font>
    <font>
      <sz val="9"/>
      <color theme="1"/>
      <name val="Calibri"/>
      <family val="2"/>
    </font>
    <font>
      <b/>
      <sz val="9"/>
      <color theme="1"/>
      <name val="Arial"/>
      <family val="2"/>
    </font>
    <font>
      <b/>
      <sz val="11"/>
      <color theme="1"/>
      <name val="Calibri"/>
      <family val="2"/>
    </font>
    <font>
      <sz val="9"/>
      <color theme="1"/>
      <name val="Arial"/>
      <family val="2"/>
    </font>
    <font>
      <b/>
      <i/>
      <sz val="9"/>
      <color theme="1"/>
      <name val="Arial"/>
      <family val="2"/>
    </font>
    <font>
      <b/>
      <sz val="14"/>
      <color theme="1"/>
      <name val="Arial"/>
      <family val="2"/>
    </font>
    <font>
      <sz val="8"/>
      <color theme="0"/>
      <name val="Arial"/>
      <family val="2"/>
    </font>
    <font>
      <i/>
      <sz val="9"/>
      <color theme="1"/>
      <name val="Arial"/>
      <family val="2"/>
    </font>
    <font>
      <b/>
      <i/>
      <sz val="9"/>
      <color theme="5" tint="-0.249977111117893"/>
      <name val="Arial"/>
      <family val="2"/>
    </font>
    <font>
      <b/>
      <u/>
      <sz val="9"/>
      <color theme="1"/>
      <name val="Arial"/>
      <family val="2"/>
    </font>
    <font>
      <sz val="11"/>
      <color theme="1"/>
      <name val="Calibri"/>
      <family val="2"/>
    </font>
    <font>
      <b/>
      <sz val="9"/>
      <color rgb="FFFF0000"/>
      <name val="Arial"/>
      <family val="2"/>
    </font>
    <font>
      <b/>
      <sz val="9"/>
      <color theme="1"/>
      <name val="Calibri"/>
      <family val="2"/>
    </font>
    <font>
      <i/>
      <sz val="8"/>
      <color theme="1"/>
      <name val="Arial"/>
      <family val="2"/>
    </font>
    <font>
      <sz val="9"/>
      <color indexed="81"/>
      <name val="Tahoma"/>
      <family val="2"/>
    </font>
    <font>
      <b/>
      <sz val="9"/>
      <color indexed="81"/>
      <name val="Tahoma"/>
      <family val="2"/>
    </font>
    <font>
      <sz val="11"/>
      <color rgb="FF000000"/>
      <name val="Calibri"/>
      <family val="2"/>
    </font>
    <font>
      <b/>
      <sz val="11"/>
      <name val="Tahoma"/>
      <family val="2"/>
    </font>
    <font>
      <sz val="12"/>
      <color theme="1"/>
      <name val="Myriad Pro"/>
      <family val="2"/>
    </font>
    <font>
      <sz val="10"/>
      <name val="Tahoma"/>
      <family val="2"/>
    </font>
    <font>
      <u/>
      <sz val="10"/>
      <color indexed="12"/>
      <name val="Arial"/>
      <family val="2"/>
    </font>
    <font>
      <b/>
      <sz val="12"/>
      <name val="Calibri"/>
      <family val="2"/>
      <scheme val="minor"/>
    </font>
    <font>
      <sz val="12"/>
      <name val="Calibri"/>
      <family val="2"/>
      <scheme val="minor"/>
    </font>
    <font>
      <sz val="12"/>
      <color theme="1"/>
      <name val="Calibri"/>
      <family val="2"/>
      <scheme val="minor"/>
    </font>
    <font>
      <b/>
      <sz val="12"/>
      <name val="Calibri"/>
      <family val="2"/>
    </font>
    <font>
      <sz val="12"/>
      <name val="Calibri"/>
      <family val="2"/>
    </font>
    <font>
      <u/>
      <sz val="12"/>
      <color indexed="12"/>
      <name val="Calibri"/>
      <family val="2"/>
    </font>
    <font>
      <sz val="11"/>
      <color theme="1"/>
      <name val="Myriad Pro"/>
      <family val="2"/>
    </font>
    <font>
      <b/>
      <sz val="11"/>
      <color theme="1"/>
      <name val="Myriad Pro"/>
      <family val="2"/>
    </font>
    <font>
      <sz val="10"/>
      <name val="Calibri"/>
      <family val="2"/>
    </font>
    <font>
      <sz val="12"/>
      <color rgb="FF000000"/>
      <name val="Myriad Pro"/>
      <family val="2"/>
    </font>
    <font>
      <b/>
      <sz val="12"/>
      <color rgb="FF000000"/>
      <name val="Myriad Pro"/>
      <family val="2"/>
    </font>
    <font>
      <b/>
      <sz val="14"/>
      <name val="Calibri"/>
      <family val="2"/>
      <scheme val="minor"/>
    </font>
    <font>
      <sz val="10"/>
      <name val="Arial"/>
      <family val="2"/>
    </font>
    <font>
      <b/>
      <sz val="9"/>
      <color theme="0"/>
      <name val="Arial"/>
      <family val="2"/>
    </font>
    <font>
      <b/>
      <u/>
      <sz val="9"/>
      <color rgb="FFFF0000"/>
      <name val="Arial"/>
      <family val="2"/>
    </font>
    <font>
      <sz val="11"/>
      <color theme="1"/>
      <name val="Myriad Pro"/>
    </font>
    <font>
      <b/>
      <sz val="12"/>
      <color theme="1"/>
      <name val="Calibri"/>
      <family val="2"/>
      <scheme val="minor"/>
    </font>
    <font>
      <sz val="11"/>
      <name val="Calibri"/>
      <family val="2"/>
      <scheme val="minor"/>
    </font>
    <font>
      <b/>
      <sz val="10"/>
      <color theme="0"/>
      <name val="Arial"/>
      <family val="2"/>
    </font>
    <font>
      <sz val="10"/>
      <color theme="0"/>
      <name val="Arial"/>
      <family val="2"/>
    </font>
    <font>
      <b/>
      <sz val="10"/>
      <color theme="1"/>
      <name val="Arial"/>
      <family val="2"/>
    </font>
    <font>
      <b/>
      <i/>
      <sz val="10"/>
      <color theme="1"/>
      <name val="Arial"/>
      <family val="2"/>
    </font>
    <font>
      <sz val="10"/>
      <color theme="1"/>
      <name val="Arial"/>
      <family val="2"/>
    </font>
    <font>
      <b/>
      <sz val="10"/>
      <name val="Arial"/>
      <family val="2"/>
    </font>
    <font>
      <b/>
      <sz val="10"/>
      <name val="Calibri"/>
      <family val="2"/>
    </font>
    <font>
      <sz val="8"/>
      <name val="Arial"/>
      <family val="2"/>
    </font>
    <font>
      <b/>
      <sz val="8"/>
      <name val="Arial"/>
      <family val="2"/>
    </font>
    <font>
      <sz val="8"/>
      <color theme="3"/>
      <name val="Arial"/>
      <family val="2"/>
    </font>
    <font>
      <sz val="10"/>
      <name val="Arial"/>
      <family val="2"/>
    </font>
    <font>
      <sz val="9"/>
      <name val="Arial"/>
      <family val="2"/>
    </font>
    <font>
      <b/>
      <sz val="11"/>
      <name val="Arial"/>
      <family val="2"/>
    </font>
    <font>
      <sz val="20"/>
      <name val="Arial"/>
      <family val="2"/>
    </font>
    <font>
      <b/>
      <sz val="14"/>
      <name val="Arial"/>
      <family val="2"/>
    </font>
    <font>
      <b/>
      <sz val="9"/>
      <name val="Arial"/>
      <family val="2"/>
    </font>
    <font>
      <b/>
      <sz val="12"/>
      <name val="Arial"/>
      <family val="2"/>
    </font>
    <font>
      <sz val="11"/>
      <name val="Arial"/>
      <family val="2"/>
    </font>
    <font>
      <u/>
      <sz val="11"/>
      <color theme="10"/>
      <name val="Calibri"/>
      <family val="2"/>
      <scheme val="minor"/>
    </font>
    <font>
      <b/>
      <sz val="11"/>
      <name val="Calibri"/>
      <family val="2"/>
      <scheme val="minor"/>
    </font>
    <font>
      <b/>
      <i/>
      <sz val="11"/>
      <color rgb="FFFF0000"/>
      <name val="Calibri"/>
      <family val="2"/>
      <scheme val="minor"/>
    </font>
    <font>
      <b/>
      <sz val="11"/>
      <color theme="0"/>
      <name val="Calibri"/>
      <family val="2"/>
      <scheme val="minor"/>
    </font>
    <font>
      <sz val="11"/>
      <color theme="0"/>
      <name val="Calibri"/>
      <family val="2"/>
      <scheme val="minor"/>
    </font>
    <font>
      <b/>
      <sz val="11"/>
      <color theme="0"/>
      <name val="Myriad Pro"/>
      <family val="2"/>
    </font>
  </fonts>
  <fills count="25">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
      <patternFill patternType="solid">
        <fgColor theme="0" tint="-0.249977111117893"/>
        <bgColor indexed="64"/>
      </patternFill>
    </fill>
    <fill>
      <patternFill patternType="lightGray"/>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indexed="9"/>
        <bgColor indexed="0"/>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D0007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dotted">
        <color auto="1"/>
      </top>
      <bottom style="dotted">
        <color auto="1"/>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5" fillId="0" borderId="0" applyNumberFormat="0" applyFill="0" applyBorder="0" applyAlignment="0" applyProtection="0">
      <alignment vertical="top"/>
      <protection locked="0"/>
    </xf>
    <xf numFmtId="0" fontId="38" fillId="0" borderId="0"/>
    <xf numFmtId="43" fontId="1" fillId="0" borderId="0" applyFont="0" applyFill="0" applyBorder="0" applyAlignment="0" applyProtection="0"/>
    <xf numFmtId="0" fontId="38" fillId="0" borderId="0">
      <alignment vertical="top"/>
    </xf>
    <xf numFmtId="0" fontId="54" fillId="0" borderId="0"/>
    <xf numFmtId="9" fontId="38" fillId="0" borderId="0" applyFont="0" applyFill="0" applyBorder="0" applyAlignment="0" applyProtection="0"/>
    <xf numFmtId="43" fontId="38" fillId="0" borderId="0" applyFont="0" applyFill="0" applyBorder="0" applyAlignment="0" applyProtection="0"/>
    <xf numFmtId="0" fontId="38" fillId="0" borderId="0"/>
    <xf numFmtId="0" fontId="62" fillId="0" borderId="0" applyNumberFormat="0" applyFill="0" applyBorder="0" applyAlignment="0" applyProtection="0"/>
  </cellStyleXfs>
  <cellXfs count="762">
    <xf numFmtId="0" fontId="0" fillId="0" borderId="0" xfId="0"/>
    <xf numFmtId="0" fontId="3" fillId="0" borderId="0" xfId="0" applyFont="1"/>
    <xf numFmtId="49" fontId="4" fillId="0" borderId="0" xfId="0" applyNumberFormat="1" applyFont="1"/>
    <xf numFmtId="49" fontId="5" fillId="0" borderId="0" xfId="0" applyNumberFormat="1" applyFont="1"/>
    <xf numFmtId="49" fontId="4" fillId="3" borderId="0" xfId="0" applyNumberFormat="1" applyFont="1" applyFill="1"/>
    <xf numFmtId="0" fontId="3" fillId="0" borderId="1" xfId="0" applyFont="1" applyBorder="1"/>
    <xf numFmtId="0" fontId="3" fillId="0" borderId="2" xfId="0" applyFont="1" applyBorder="1"/>
    <xf numFmtId="0" fontId="3" fillId="0" borderId="3" xfId="0" applyFont="1" applyBorder="1"/>
    <xf numFmtId="0" fontId="6" fillId="0" borderId="0" xfId="0" applyFont="1"/>
    <xf numFmtId="0" fontId="6" fillId="0" borderId="3" xfId="0" applyFont="1" applyBorder="1"/>
    <xf numFmtId="0" fontId="8" fillId="0" borderId="0" xfId="0" applyFont="1"/>
    <xf numFmtId="164" fontId="6" fillId="4" borderId="9" xfId="1" applyNumberFormat="1" applyFont="1" applyFill="1" applyBorder="1" applyAlignment="1">
      <alignment horizontal="center" vertical="center" wrapText="1"/>
    </xf>
    <xf numFmtId="49" fontId="9" fillId="0" borderId="0" xfId="0" applyNumberFormat="1" applyFont="1" applyAlignment="1">
      <alignment horizontal="center"/>
    </xf>
    <xf numFmtId="0" fontId="8" fillId="0" borderId="3" xfId="0" applyFont="1" applyBorder="1"/>
    <xf numFmtId="164" fontId="6" fillId="0" borderId="0" xfId="1" applyNumberFormat="1" applyFont="1" applyAlignment="1">
      <alignment horizontal="center" vertical="center" wrapText="1"/>
    </xf>
    <xf numFmtId="164" fontId="6" fillId="0" borderId="11" xfId="1" applyNumberFormat="1" applyFont="1" applyBorder="1" applyAlignment="1">
      <alignment horizontal="center" vertical="center" wrapText="1"/>
    </xf>
    <xf numFmtId="164" fontId="6" fillId="0" borderId="12" xfId="1" applyNumberFormat="1" applyFont="1" applyBorder="1" applyAlignment="1">
      <alignment horizontal="center" vertical="center" wrapText="1"/>
    </xf>
    <xf numFmtId="165" fontId="6" fillId="4" borderId="9" xfId="1" applyNumberFormat="1" applyFont="1" applyFill="1" applyBorder="1" applyAlignment="1">
      <alignment horizontal="right"/>
    </xf>
    <xf numFmtId="165" fontId="6" fillId="4" borderId="9" xfId="1" applyNumberFormat="1" applyFont="1" applyFill="1" applyBorder="1"/>
    <xf numFmtId="164" fontId="6" fillId="4" borderId="9" xfId="1" applyNumberFormat="1" applyFont="1" applyFill="1" applyBorder="1"/>
    <xf numFmtId="4" fontId="6" fillId="4" borderId="9" xfId="1" applyNumberFormat="1" applyFont="1" applyFill="1" applyBorder="1"/>
    <xf numFmtId="49" fontId="12" fillId="0" borderId="0" xfId="0" applyNumberFormat="1" applyFont="1"/>
    <xf numFmtId="49" fontId="8" fillId="0" borderId="3" xfId="0" applyNumberFormat="1" applyFont="1" applyBorder="1"/>
    <xf numFmtId="165" fontId="6" fillId="0" borderId="0" xfId="1" applyNumberFormat="1" applyFont="1"/>
    <xf numFmtId="0" fontId="8" fillId="0" borderId="15" xfId="0" applyFont="1" applyBorder="1" applyAlignment="1">
      <alignment horizontal="center" wrapText="1"/>
    </xf>
    <xf numFmtId="0" fontId="6" fillId="0" borderId="15" xfId="0" applyFont="1" applyBorder="1"/>
    <xf numFmtId="4" fontId="6" fillId="0" borderId="15" xfId="1" applyNumberFormat="1" applyFont="1" applyBorder="1"/>
    <xf numFmtId="4" fontId="6" fillId="0" borderId="0" xfId="1" applyNumberFormat="1" applyFont="1"/>
    <xf numFmtId="0" fontId="8" fillId="0" borderId="13" xfId="0" applyFont="1" applyBorder="1"/>
    <xf numFmtId="165" fontId="8" fillId="0" borderId="15" xfId="1" applyNumberFormat="1" applyFont="1" applyBorder="1"/>
    <xf numFmtId="165" fontId="8" fillId="3" borderId="15" xfId="1" applyNumberFormat="1" applyFont="1" applyFill="1" applyBorder="1" applyProtection="1">
      <protection locked="0"/>
    </xf>
    <xf numFmtId="165" fontId="8" fillId="5" borderId="15" xfId="1" applyNumberFormat="1" applyFont="1" applyFill="1" applyBorder="1"/>
    <xf numFmtId="9" fontId="8" fillId="0" borderId="15" xfId="2" applyFont="1" applyBorder="1"/>
    <xf numFmtId="4" fontId="6" fillId="3" borderId="15" xfId="1" applyNumberFormat="1" applyFont="1" applyFill="1" applyBorder="1" applyProtection="1">
      <protection locked="0"/>
    </xf>
    <xf numFmtId="165" fontId="8" fillId="0" borderId="0" xfId="1" applyNumberFormat="1" applyFont="1"/>
    <xf numFmtId="0" fontId="8" fillId="0" borderId="15" xfId="0" applyFont="1" applyBorder="1"/>
    <xf numFmtId="4" fontId="8" fillId="0" borderId="15" xfId="1" applyNumberFormat="1" applyFont="1" applyBorder="1"/>
    <xf numFmtId="4" fontId="8" fillId="0" borderId="0" xfId="1" applyNumberFormat="1" applyFont="1"/>
    <xf numFmtId="4" fontId="8" fillId="3" borderId="15" xfId="1" applyNumberFormat="1" applyFont="1" applyFill="1" applyBorder="1" applyProtection="1">
      <protection locked="0"/>
    </xf>
    <xf numFmtId="165" fontId="8" fillId="3" borderId="15" xfId="1" applyNumberFormat="1" applyFont="1" applyFill="1" applyBorder="1"/>
    <xf numFmtId="0" fontId="8" fillId="0" borderId="8" xfId="0" applyFont="1" applyBorder="1" applyAlignment="1">
      <alignment horizontal="center" wrapText="1"/>
    </xf>
    <xf numFmtId="0" fontId="8" fillId="0" borderId="16" xfId="0" applyFont="1" applyBorder="1"/>
    <xf numFmtId="4" fontId="8" fillId="0" borderId="16" xfId="0" applyNumberFormat="1" applyFont="1" applyBorder="1"/>
    <xf numFmtId="4" fontId="6" fillId="0" borderId="16" xfId="1" applyNumberFormat="1" applyFont="1" applyBorder="1"/>
    <xf numFmtId="4" fontId="6" fillId="0" borderId="17" xfId="1" applyNumberFormat="1" applyFont="1" applyBorder="1"/>
    <xf numFmtId="4" fontId="13" fillId="4" borderId="9" xfId="1" applyNumberFormat="1" applyFont="1" applyFill="1" applyBorder="1"/>
    <xf numFmtId="4" fontId="6" fillId="0" borderId="12" xfId="1" applyNumberFormat="1" applyFont="1" applyBorder="1"/>
    <xf numFmtId="0" fontId="8" fillId="0" borderId="10" xfId="0" applyFont="1" applyBorder="1" applyAlignment="1">
      <alignment horizontal="center" wrapText="1"/>
    </xf>
    <xf numFmtId="0" fontId="8" fillId="0" borderId="11" xfId="0" applyFont="1" applyBorder="1"/>
    <xf numFmtId="4" fontId="8" fillId="0" borderId="11" xfId="0" applyNumberFormat="1" applyFont="1" applyBorder="1"/>
    <xf numFmtId="4" fontId="6" fillId="0" borderId="11" xfId="1" applyNumberFormat="1" applyFont="1" applyBorder="1"/>
    <xf numFmtId="0" fontId="10" fillId="0" borderId="13" xfId="0" applyFont="1" applyBorder="1" applyAlignment="1">
      <alignment horizontal="left"/>
    </xf>
    <xf numFmtId="4" fontId="8" fillId="0" borderId="0" xfId="0" applyNumberFormat="1" applyFont="1"/>
    <xf numFmtId="0" fontId="8" fillId="0" borderId="18" xfId="0" applyFont="1" applyBorder="1"/>
    <xf numFmtId="4" fontId="8" fillId="0" borderId="18" xfId="0" applyNumberFormat="1" applyFont="1" applyBorder="1"/>
    <xf numFmtId="4" fontId="6" fillId="0" borderId="18" xfId="1" applyNumberFormat="1" applyFont="1" applyBorder="1"/>
    <xf numFmtId="164" fontId="8" fillId="0" borderId="15" xfId="1" applyNumberFormat="1" applyFont="1" applyBorder="1"/>
    <xf numFmtId="164" fontId="6" fillId="0" borderId="15" xfId="1" applyNumberFormat="1" applyFont="1" applyBorder="1"/>
    <xf numFmtId="164" fontId="6" fillId="0" borderId="0" xfId="1" applyNumberFormat="1" applyFont="1"/>
    <xf numFmtId="164" fontId="8" fillId="0" borderId="0" xfId="1" applyNumberFormat="1" applyFont="1"/>
    <xf numFmtId="4" fontId="8" fillId="3" borderId="15" xfId="0" applyNumberFormat="1" applyFont="1" applyFill="1" applyBorder="1" applyProtection="1">
      <protection locked="0"/>
    </xf>
    <xf numFmtId="4" fontId="8" fillId="0" borderId="15" xfId="0" applyNumberFormat="1" applyFont="1" applyBorder="1"/>
    <xf numFmtId="164" fontId="8" fillId="0" borderId="16" xfId="1" applyNumberFormat="1" applyFont="1" applyBorder="1"/>
    <xf numFmtId="164" fontId="6" fillId="0" borderId="16" xfId="1" applyNumberFormat="1" applyFont="1" applyBorder="1"/>
    <xf numFmtId="0" fontId="8" fillId="0" borderId="13" xfId="0" applyFont="1" applyBorder="1" applyAlignment="1">
      <alignment horizontal="center" wrapText="1"/>
    </xf>
    <xf numFmtId="164" fontId="8" fillId="0" borderId="12" xfId="1" applyNumberFormat="1" applyFont="1" applyBorder="1"/>
    <xf numFmtId="0" fontId="6" fillId="0" borderId="20" xfId="0" applyFont="1" applyBorder="1"/>
    <xf numFmtId="0" fontId="8" fillId="0" borderId="10" xfId="0" applyFont="1" applyBorder="1" applyAlignment="1">
      <alignment wrapText="1"/>
    </xf>
    <xf numFmtId="164" fontId="8" fillId="0" borderId="11" xfId="1" applyNumberFormat="1" applyFont="1" applyBorder="1"/>
    <xf numFmtId="0" fontId="8" fillId="0" borderId="17" xfId="0" applyFont="1" applyBorder="1"/>
    <xf numFmtId="0" fontId="8" fillId="0" borderId="13" xfId="0" applyFont="1" applyBorder="1" applyAlignment="1">
      <alignment wrapText="1"/>
    </xf>
    <xf numFmtId="0" fontId="6" fillId="0" borderId="0" xfId="3" applyFont="1"/>
    <xf numFmtId="166" fontId="6" fillId="0" borderId="0" xfId="3" applyNumberFormat="1" applyFont="1"/>
    <xf numFmtId="166" fontId="8" fillId="0" borderId="0" xfId="3" applyNumberFormat="1" applyFont="1"/>
    <xf numFmtId="166" fontId="6" fillId="0" borderId="12" xfId="3" applyNumberFormat="1" applyFont="1" applyBorder="1"/>
    <xf numFmtId="49" fontId="12" fillId="0" borderId="5" xfId="0" applyNumberFormat="1" applyFont="1" applyBorder="1"/>
    <xf numFmtId="0" fontId="14" fillId="0" borderId="0" xfId="3" applyFont="1"/>
    <xf numFmtId="164" fontId="6" fillId="0" borderId="0" xfId="1" applyNumberFormat="1" applyFont="1" applyAlignment="1">
      <alignment wrapText="1"/>
    </xf>
    <xf numFmtId="0" fontId="6" fillId="7" borderId="9" xfId="3" applyFont="1" applyFill="1" applyBorder="1"/>
    <xf numFmtId="165" fontId="8" fillId="3" borderId="9" xfId="1" applyNumberFormat="1" applyFont="1" applyFill="1" applyBorder="1" applyProtection="1">
      <protection locked="0"/>
    </xf>
    <xf numFmtId="165" fontId="5" fillId="0" borderId="0" xfId="0" applyNumberFormat="1" applyFont="1"/>
    <xf numFmtId="165" fontId="8" fillId="0" borderId="15" xfId="1" applyNumberFormat="1" applyFont="1" applyBorder="1" applyProtection="1">
      <protection locked="0"/>
    </xf>
    <xf numFmtId="0" fontId="15" fillId="0" borderId="0" xfId="3" applyFont="1"/>
    <xf numFmtId="166" fontId="6" fillId="0" borderId="18" xfId="3" applyNumberFormat="1" applyFont="1" applyBorder="1"/>
    <xf numFmtId="0" fontId="8" fillId="0" borderId="9" xfId="3" applyFont="1" applyBorder="1"/>
    <xf numFmtId="165" fontId="6" fillId="0" borderId="15" xfId="1" applyNumberFormat="1" applyFont="1" applyBorder="1"/>
    <xf numFmtId="165" fontId="8" fillId="8" borderId="9" xfId="1" applyNumberFormat="1" applyFont="1" applyFill="1" applyBorder="1"/>
    <xf numFmtId="0" fontId="6" fillId="7" borderId="9" xfId="3" applyFont="1" applyFill="1" applyBorder="1" applyAlignment="1">
      <alignment wrapText="1"/>
    </xf>
    <xf numFmtId="165" fontId="6" fillId="6" borderId="0" xfId="1" applyNumberFormat="1" applyFont="1" applyFill="1"/>
    <xf numFmtId="167" fontId="8" fillId="0" borderId="9" xfId="3" applyNumberFormat="1" applyFont="1" applyBorder="1"/>
    <xf numFmtId="167" fontId="8" fillId="0" borderId="0" xfId="3" applyNumberFormat="1" applyFont="1"/>
    <xf numFmtId="167" fontId="6" fillId="7" borderId="9" xfId="3" applyNumberFormat="1" applyFont="1" applyFill="1" applyBorder="1"/>
    <xf numFmtId="167" fontId="6" fillId="0" borderId="0" xfId="3" applyNumberFormat="1" applyFont="1"/>
    <xf numFmtId="165" fontId="8" fillId="0" borderId="0" xfId="1" applyNumberFormat="1" applyFont="1" applyProtection="1">
      <protection locked="0"/>
    </xf>
    <xf numFmtId="0" fontId="8" fillId="0" borderId="16" xfId="3" applyFont="1" applyBorder="1"/>
    <xf numFmtId="165" fontId="8" fillId="0" borderId="16" xfId="1" applyNumberFormat="1" applyFont="1" applyBorder="1" applyProtection="1">
      <protection locked="0"/>
    </xf>
    <xf numFmtId="43" fontId="6" fillId="4" borderId="9" xfId="1" applyFont="1" applyFill="1" applyBorder="1"/>
    <xf numFmtId="49" fontId="9" fillId="0" borderId="0" xfId="0" applyNumberFormat="1" applyFont="1"/>
    <xf numFmtId="49" fontId="17" fillId="0" borderId="0" xfId="0" applyNumberFormat="1" applyFont="1"/>
    <xf numFmtId="166" fontId="6" fillId="4" borderId="9" xfId="3" applyNumberFormat="1" applyFont="1" applyFill="1" applyBorder="1"/>
    <xf numFmtId="166" fontId="12" fillId="4" borderId="9" xfId="3" applyNumberFormat="1" applyFont="1" applyFill="1" applyBorder="1" applyAlignment="1">
      <alignment wrapText="1"/>
    </xf>
    <xf numFmtId="166" fontId="12" fillId="4" borderId="9" xfId="3" applyNumberFormat="1" applyFont="1" applyFill="1" applyBorder="1"/>
    <xf numFmtId="166" fontId="6" fillId="3" borderId="9" xfId="3" applyNumberFormat="1" applyFont="1" applyFill="1" applyBorder="1" applyProtection="1">
      <protection locked="0"/>
    </xf>
    <xf numFmtId="14" fontId="6" fillId="4" borderId="9" xfId="3" applyNumberFormat="1" applyFont="1" applyFill="1" applyBorder="1"/>
    <xf numFmtId="0" fontId="6" fillId="4" borderId="9" xfId="3" applyFont="1" applyFill="1" applyBorder="1"/>
    <xf numFmtId="0" fontId="8" fillId="0" borderId="19" xfId="0" applyFont="1" applyBorder="1" applyAlignment="1">
      <alignment wrapText="1"/>
    </xf>
    <xf numFmtId="166" fontId="8" fillId="0" borderId="18" xfId="3" applyNumberFormat="1" applyFont="1" applyBorder="1"/>
    <xf numFmtId="0" fontId="8" fillId="0" borderId="10" xfId="0" applyFont="1" applyBorder="1" applyAlignment="1" applyProtection="1">
      <alignment wrapText="1"/>
      <protection locked="0"/>
    </xf>
    <xf numFmtId="0" fontId="8" fillId="0" borderId="11" xfId="0" applyFont="1" applyBorder="1" applyProtection="1">
      <protection locked="0"/>
    </xf>
    <xf numFmtId="164" fontId="8" fillId="0" borderId="11" xfId="1" applyNumberFormat="1" applyFont="1" applyBorder="1" applyProtection="1">
      <protection locked="0"/>
    </xf>
    <xf numFmtId="164" fontId="8" fillId="6" borderId="11" xfId="1" applyNumberFormat="1" applyFont="1" applyFill="1" applyBorder="1" applyProtection="1">
      <protection locked="0"/>
    </xf>
    <xf numFmtId="0" fontId="10" fillId="0" borderId="13" xfId="0" applyFont="1" applyBorder="1" applyAlignment="1" applyProtection="1">
      <alignment horizontal="left"/>
      <protection locked="0"/>
    </xf>
    <xf numFmtId="0" fontId="8" fillId="0" borderId="13" xfId="0" applyFont="1" applyBorder="1" applyAlignment="1" applyProtection="1">
      <alignment wrapText="1"/>
      <protection locked="0"/>
    </xf>
    <xf numFmtId="0" fontId="8" fillId="0" borderId="0" xfId="0" applyFont="1" applyAlignment="1">
      <alignment wrapText="1"/>
    </xf>
    <xf numFmtId="0" fontId="0" fillId="0" borderId="0" xfId="0" applyAlignment="1">
      <alignment horizontal="center"/>
    </xf>
    <xf numFmtId="0" fontId="11" fillId="0" borderId="0" xfId="0" applyFont="1" applyAlignment="1">
      <alignment horizontal="left"/>
    </xf>
    <xf numFmtId="0" fontId="6" fillId="4" borderId="10" xfId="0" applyFont="1" applyFill="1" applyBorder="1" applyAlignment="1">
      <alignment horizontal="center" wrapText="1"/>
    </xf>
    <xf numFmtId="0" fontId="10" fillId="0" borderId="0" xfId="0" applyFont="1" applyAlignment="1">
      <alignment horizontal="left"/>
    </xf>
    <xf numFmtId="0" fontId="11" fillId="0" borderId="23" xfId="0" applyFont="1" applyBorder="1" applyAlignment="1">
      <alignment horizontal="left"/>
    </xf>
    <xf numFmtId="0" fontId="2" fillId="10" borderId="0" xfId="0" applyFont="1" applyFill="1"/>
    <xf numFmtId="0" fontId="0" fillId="10" borderId="0" xfId="0" applyFill="1"/>
    <xf numFmtId="0" fontId="2" fillId="10" borderId="0" xfId="0" applyFont="1" applyFill="1" applyAlignment="1">
      <alignment horizontal="left"/>
    </xf>
    <xf numFmtId="0" fontId="2" fillId="0" borderId="0" xfId="0" applyFont="1"/>
    <xf numFmtId="0" fontId="22" fillId="11" borderId="0" xfId="0" applyFont="1" applyFill="1" applyAlignment="1">
      <alignment horizontal="center" vertical="top" readingOrder="1"/>
    </xf>
    <xf numFmtId="0" fontId="23" fillId="0" borderId="0" xfId="0" applyFont="1" applyAlignment="1">
      <alignment horizontal="justify" vertical="center"/>
    </xf>
    <xf numFmtId="0" fontId="24" fillId="0" borderId="0" xfId="0" quotePrefix="1" applyFont="1" applyAlignment="1">
      <alignment horizontal="center" vertical="top" readingOrder="1"/>
    </xf>
    <xf numFmtId="43" fontId="0" fillId="0" borderId="0" xfId="1" applyFont="1"/>
    <xf numFmtId="0" fontId="26" fillId="0" borderId="0" xfId="0" applyFont="1"/>
    <xf numFmtId="0" fontId="27" fillId="0" borderId="0" xfId="0" applyFont="1"/>
    <xf numFmtId="0" fontId="28" fillId="0" borderId="0" xfId="0" applyFont="1"/>
    <xf numFmtId="168" fontId="29" fillId="13" borderId="9" xfId="0" applyNumberFormat="1" applyFont="1" applyFill="1" applyBorder="1" applyAlignment="1">
      <alignment horizontal="center" vertical="center" wrapText="1"/>
    </xf>
    <xf numFmtId="168" fontId="29" fillId="10" borderId="9" xfId="0" applyNumberFormat="1" applyFont="1" applyFill="1" applyBorder="1" applyAlignment="1">
      <alignment horizontal="center" vertical="center" wrapText="1"/>
    </xf>
    <xf numFmtId="0" fontId="30" fillId="16" borderId="9" xfId="0" applyFont="1" applyFill="1" applyBorder="1" applyAlignment="1">
      <alignment horizontal="center"/>
    </xf>
    <xf numFmtId="0" fontId="30" fillId="3" borderId="9" xfId="0" applyFont="1" applyFill="1" applyBorder="1" applyAlignment="1">
      <alignment horizontal="center"/>
    </xf>
    <xf numFmtId="0" fontId="30" fillId="17" borderId="0" xfId="0" applyFont="1" applyFill="1" applyAlignment="1">
      <alignment horizontal="center"/>
    </xf>
    <xf numFmtId="0" fontId="30" fillId="0" borderId="0" xfId="0" applyFont="1" applyAlignment="1">
      <alignment horizontal="center"/>
    </xf>
    <xf numFmtId="0" fontId="29" fillId="10" borderId="20" xfId="0" applyFont="1" applyFill="1" applyBorder="1" applyAlignment="1">
      <alignment horizontal="center" vertical="center" wrapText="1"/>
    </xf>
    <xf numFmtId="168" fontId="29" fillId="9" borderId="20" xfId="0" applyNumberFormat="1" applyFont="1" applyFill="1" applyBorder="1" applyAlignment="1">
      <alignment horizontal="center" vertical="center" wrapText="1"/>
    </xf>
    <xf numFmtId="168" fontId="29" fillId="12" borderId="20" xfId="0" applyNumberFormat="1" applyFont="1" applyFill="1" applyBorder="1" applyAlignment="1">
      <alignment horizontal="center" vertical="center" wrapText="1"/>
    </xf>
    <xf numFmtId="168" fontId="29" fillId="2" borderId="9" xfId="0" applyNumberFormat="1" applyFont="1" applyFill="1" applyBorder="1" applyAlignment="1">
      <alignment horizontal="center" vertical="center" wrapText="1"/>
    </xf>
    <xf numFmtId="168" fontId="29" fillId="14" borderId="9" xfId="0" applyNumberFormat="1" applyFont="1" applyFill="1" applyBorder="1" applyAlignment="1">
      <alignment horizontal="center" vertical="center" wrapText="1"/>
    </xf>
    <xf numFmtId="168" fontId="29" fillId="15" borderId="9" xfId="0" applyNumberFormat="1" applyFont="1" applyFill="1" applyBorder="1" applyAlignment="1">
      <alignment horizontal="center" vertical="center" wrapText="1"/>
    </xf>
    <xf numFmtId="168" fontId="29" fillId="16" borderId="9" xfId="0" applyNumberFormat="1" applyFont="1" applyFill="1" applyBorder="1" applyAlignment="1">
      <alignment horizontal="center" vertical="center" wrapText="1"/>
    </xf>
    <xf numFmtId="168" fontId="29" fillId="3" borderId="9" xfId="0" applyNumberFormat="1" applyFont="1" applyFill="1" applyBorder="1" applyAlignment="1">
      <alignment horizontal="center" vertical="center" wrapText="1"/>
    </xf>
    <xf numFmtId="168" fontId="29" fillId="17" borderId="9" xfId="0" applyNumberFormat="1" applyFont="1" applyFill="1" applyBorder="1" applyAlignment="1">
      <alignment horizontal="center" vertical="center" wrapText="1"/>
    </xf>
    <xf numFmtId="168" fontId="29" fillId="18" borderId="9" xfId="0" applyNumberFormat="1" applyFont="1" applyFill="1" applyBorder="1" applyAlignment="1">
      <alignment horizontal="center" vertical="center" wrapText="1"/>
    </xf>
    <xf numFmtId="0" fontId="29" fillId="0" borderId="0" xfId="0" applyFont="1" applyAlignment="1">
      <alignment horizontal="center"/>
    </xf>
    <xf numFmtId="0" fontId="30" fillId="0" borderId="9" xfId="0" applyFont="1" applyBorder="1" applyAlignment="1">
      <alignment horizontal="center"/>
    </xf>
    <xf numFmtId="0" fontId="30" fillId="0" borderId="9" xfId="0" applyFont="1" applyBorder="1" applyAlignment="1">
      <alignment horizontal="center" vertical="center" wrapText="1"/>
    </xf>
    <xf numFmtId="168" fontId="30" fillId="0" borderId="9" xfId="0" applyNumberFormat="1" applyFont="1" applyBorder="1" applyAlignment="1">
      <alignment horizontal="center" vertical="center" wrapText="1"/>
    </xf>
    <xf numFmtId="0" fontId="26" fillId="0" borderId="0" xfId="0" applyFont="1" applyAlignment="1">
      <alignment horizontal="center" vertical="center" wrapText="1"/>
    </xf>
    <xf numFmtId="0" fontId="30" fillId="10" borderId="23" xfId="0" applyFont="1" applyFill="1" applyBorder="1" applyAlignment="1">
      <alignment horizontal="center"/>
    </xf>
    <xf numFmtId="0" fontId="30" fillId="9" borderId="23" xfId="0" applyFont="1" applyFill="1" applyBorder="1" applyAlignment="1">
      <alignment horizontal="center"/>
    </xf>
    <xf numFmtId="168" fontId="31" fillId="9" borderId="23" xfId="4" applyNumberFormat="1" applyFont="1" applyFill="1" applyBorder="1" applyAlignment="1" applyProtection="1">
      <alignment horizontal="center" vertical="center" wrapText="1"/>
    </xf>
    <xf numFmtId="0" fontId="30" fillId="12" borderId="23" xfId="0" applyFont="1" applyFill="1" applyBorder="1" applyAlignment="1">
      <alignment horizontal="center"/>
    </xf>
    <xf numFmtId="0" fontId="30" fillId="2" borderId="9" xfId="0" applyFont="1" applyFill="1" applyBorder="1" applyAlignment="1">
      <alignment horizontal="center"/>
    </xf>
    <xf numFmtId="0" fontId="30" fillId="13" borderId="9" xfId="0" applyFont="1" applyFill="1" applyBorder="1" applyAlignment="1">
      <alignment horizontal="center"/>
    </xf>
    <xf numFmtId="0" fontId="30" fillId="14" borderId="9" xfId="0" applyFont="1" applyFill="1" applyBorder="1" applyAlignment="1">
      <alignment horizontal="center"/>
    </xf>
    <xf numFmtId="0" fontId="30" fillId="15" borderId="9" xfId="0" applyFont="1" applyFill="1" applyBorder="1" applyAlignment="1">
      <alignment horizontal="center"/>
    </xf>
    <xf numFmtId="0" fontId="30" fillId="10" borderId="9" xfId="0" applyFont="1" applyFill="1" applyBorder="1" applyAlignment="1">
      <alignment horizontal="center"/>
    </xf>
    <xf numFmtId="0" fontId="30" fillId="17" borderId="9" xfId="0" applyFont="1" applyFill="1" applyBorder="1" applyAlignment="1">
      <alignment horizontal="center"/>
    </xf>
    <xf numFmtId="0" fontId="30" fillId="18" borderId="9" xfId="0" applyFont="1" applyFill="1" applyBorder="1" applyAlignment="1">
      <alignment horizontal="center"/>
    </xf>
    <xf numFmtId="169" fontId="30" fillId="0" borderId="0" xfId="0" applyNumberFormat="1" applyFont="1" applyAlignment="1">
      <alignment horizontal="center"/>
    </xf>
    <xf numFmtId="165" fontId="8" fillId="0" borderId="15" xfId="1" applyNumberFormat="1" applyFont="1" applyFill="1" applyBorder="1" applyProtection="1">
      <protection locked="0"/>
    </xf>
    <xf numFmtId="0" fontId="32" fillId="0" borderId="0" xfId="0" applyFont="1"/>
    <xf numFmtId="0" fontId="34" fillId="0" borderId="0" xfId="0" applyFont="1" applyAlignment="1">
      <alignment horizontal="center"/>
    </xf>
    <xf numFmtId="43" fontId="0" fillId="0" borderId="9" xfId="1" applyFont="1" applyBorder="1"/>
    <xf numFmtId="14" fontId="0" fillId="0" borderId="9" xfId="0" applyNumberFormat="1" applyBorder="1"/>
    <xf numFmtId="0" fontId="0" fillId="0" borderId="9" xfId="0" applyBorder="1"/>
    <xf numFmtId="164" fontId="0" fillId="0" borderId="9" xfId="1" applyNumberFormat="1" applyFont="1" applyBorder="1"/>
    <xf numFmtId="9" fontId="0" fillId="0" borderId="0" xfId="2" applyFont="1"/>
    <xf numFmtId="165" fontId="6" fillId="4" borderId="9" xfId="1" applyNumberFormat="1" applyFont="1" applyFill="1" applyBorder="1" applyAlignment="1" applyProtection="1">
      <alignment horizontal="right"/>
    </xf>
    <xf numFmtId="4" fontId="6" fillId="0" borderId="15" xfId="1" applyNumberFormat="1" applyFont="1" applyBorder="1" applyProtection="1"/>
    <xf numFmtId="165" fontId="8" fillId="0" borderId="15" xfId="1" applyNumberFormat="1" applyFont="1" applyFill="1" applyBorder="1" applyProtection="1"/>
    <xf numFmtId="165" fontId="6" fillId="4" borderId="9" xfId="1" applyNumberFormat="1" applyFont="1" applyFill="1" applyBorder="1" applyProtection="1"/>
    <xf numFmtId="4" fontId="8" fillId="0" borderId="15" xfId="1" applyNumberFormat="1" applyFont="1" applyBorder="1" applyProtection="1"/>
    <xf numFmtId="4" fontId="6" fillId="0" borderId="0" xfId="1" applyNumberFormat="1" applyFont="1" applyProtection="1"/>
    <xf numFmtId="4" fontId="6" fillId="0" borderId="11" xfId="1" applyNumberFormat="1" applyFont="1" applyBorder="1" applyProtection="1"/>
    <xf numFmtId="4" fontId="6" fillId="0" borderId="18" xfId="1" applyNumberFormat="1" applyFont="1" applyBorder="1" applyProtection="1"/>
    <xf numFmtId="164" fontId="6" fillId="0" borderId="15" xfId="1" applyNumberFormat="1" applyFont="1" applyBorder="1" applyProtection="1"/>
    <xf numFmtId="164" fontId="8" fillId="0" borderId="15" xfId="1" applyNumberFormat="1" applyFont="1" applyBorder="1" applyProtection="1"/>
    <xf numFmtId="164" fontId="6" fillId="0" borderId="0" xfId="1" applyNumberFormat="1" applyFont="1" applyProtection="1"/>
    <xf numFmtId="164" fontId="6" fillId="0" borderId="13" xfId="1" applyNumberFormat="1" applyFont="1" applyBorder="1" applyProtection="1"/>
    <xf numFmtId="165" fontId="8" fillId="6" borderId="15" xfId="1" applyNumberFormat="1" applyFont="1" applyFill="1" applyBorder="1" applyProtection="1"/>
    <xf numFmtId="0" fontId="0" fillId="3" borderId="0" xfId="0" applyFill="1"/>
    <xf numFmtId="0" fontId="0" fillId="0" borderId="0" xfId="0" applyAlignment="1">
      <alignment wrapText="1"/>
    </xf>
    <xf numFmtId="0" fontId="37" fillId="0" borderId="0" xfId="0" applyFont="1"/>
    <xf numFmtId="0" fontId="34" fillId="0" borderId="0" xfId="0" applyFont="1" applyAlignment="1">
      <alignment horizontal="center" vertical="center" wrapText="1"/>
    </xf>
    <xf numFmtId="0" fontId="29" fillId="10" borderId="20" xfId="0" applyFont="1" applyFill="1" applyBorder="1" applyAlignment="1">
      <alignment horizontal="left" vertical="center" wrapText="1"/>
    </xf>
    <xf numFmtId="0" fontId="28" fillId="0" borderId="23" xfId="0" applyFont="1" applyBorder="1"/>
    <xf numFmtId="0" fontId="28" fillId="0" borderId="23" xfId="0" applyFont="1" applyBorder="1" applyAlignment="1">
      <alignment horizontal="left"/>
    </xf>
    <xf numFmtId="0" fontId="30" fillId="10" borderId="9" xfId="0" applyFont="1" applyFill="1" applyBorder="1" applyAlignment="1">
      <alignment horizontal="left"/>
    </xf>
    <xf numFmtId="0" fontId="27" fillId="0" borderId="9" xfId="0" applyFont="1" applyBorder="1" applyAlignment="1">
      <alignment horizontal="center" vertical="center" wrapText="1"/>
    </xf>
    <xf numFmtId="0" fontId="27" fillId="0" borderId="9" xfId="0" applyFont="1" applyBorder="1" applyAlignment="1">
      <alignment horizontal="justify" vertical="center"/>
    </xf>
    <xf numFmtId="43" fontId="0" fillId="0" borderId="9" xfId="0" applyNumberFormat="1" applyBorder="1"/>
    <xf numFmtId="170" fontId="0" fillId="0" borderId="9" xfId="1" applyNumberFormat="1" applyFont="1" applyBorder="1"/>
    <xf numFmtId="0" fontId="26" fillId="0" borderId="9" xfId="0" applyFont="1" applyBorder="1" applyAlignment="1">
      <alignment horizontal="center"/>
    </xf>
    <xf numFmtId="0" fontId="26" fillId="0" borderId="9" xfId="0" applyFont="1" applyBorder="1"/>
    <xf numFmtId="164" fontId="2" fillId="0" borderId="9" xfId="1" applyNumberFormat="1" applyFont="1" applyBorder="1"/>
    <xf numFmtId="0" fontId="27" fillId="0" borderId="0" xfId="0" applyFont="1" applyAlignment="1">
      <alignment horizontal="center"/>
    </xf>
    <xf numFmtId="43" fontId="34" fillId="0" borderId="0" xfId="1" applyFont="1" applyAlignment="1">
      <alignment horizontal="center"/>
    </xf>
    <xf numFmtId="43" fontId="29" fillId="13" borderId="9" xfId="1" applyFont="1" applyFill="1" applyBorder="1" applyAlignment="1">
      <alignment horizontal="center" vertical="center" wrapText="1"/>
    </xf>
    <xf numFmtId="43" fontId="28" fillId="0" borderId="23" xfId="1" applyFont="1" applyBorder="1"/>
    <xf numFmtId="43" fontId="30" fillId="13" borderId="9" xfId="1" applyFont="1" applyFill="1" applyBorder="1" applyAlignment="1">
      <alignment horizontal="center"/>
    </xf>
    <xf numFmtId="43" fontId="2" fillId="0" borderId="9" xfId="1" applyFont="1" applyBorder="1"/>
    <xf numFmtId="14" fontId="0" fillId="3" borderId="9" xfId="0" applyNumberFormat="1" applyFill="1" applyBorder="1"/>
    <xf numFmtId="14" fontId="0" fillId="0" borderId="0" xfId="0" applyNumberFormat="1"/>
    <xf numFmtId="165" fontId="8" fillId="0" borderId="0" xfId="1" applyNumberFormat="1" applyFont="1" applyProtection="1"/>
    <xf numFmtId="165" fontId="6" fillId="0" borderId="0" xfId="1" applyNumberFormat="1" applyFont="1" applyFill="1" applyProtection="1"/>
    <xf numFmtId="0" fontId="21" fillId="3" borderId="32" xfId="0" applyFont="1" applyFill="1" applyBorder="1" applyAlignment="1" applyProtection="1">
      <alignment horizontal="center" vertical="center"/>
      <protection locked="0"/>
    </xf>
    <xf numFmtId="0" fontId="21" fillId="3" borderId="9" xfId="0" applyFont="1" applyFill="1" applyBorder="1" applyAlignment="1" applyProtection="1">
      <alignment horizontal="center" vertical="center"/>
      <protection locked="0"/>
    </xf>
    <xf numFmtId="164" fontId="6" fillId="0" borderId="0" xfId="1" applyNumberFormat="1" applyFont="1" applyBorder="1" applyAlignment="1">
      <alignment horizontal="center" vertical="center" wrapText="1"/>
    </xf>
    <xf numFmtId="0" fontId="8" fillId="0" borderId="0" xfId="0" applyFont="1" applyAlignment="1">
      <alignment horizontal="center" wrapText="1"/>
    </xf>
    <xf numFmtId="0" fontId="8" fillId="0" borderId="12" xfId="0" applyFont="1" applyBorder="1"/>
    <xf numFmtId="0" fontId="8" fillId="0" borderId="0" xfId="0" applyFont="1" applyProtection="1">
      <protection hidden="1"/>
    </xf>
    <xf numFmtId="0" fontId="40" fillId="0" borderId="1" xfId="3" applyFont="1" applyBorder="1" applyAlignment="1">
      <alignment horizontal="left"/>
    </xf>
    <xf numFmtId="166" fontId="6" fillId="0" borderId="2" xfId="3" applyNumberFormat="1" applyFont="1" applyBorder="1"/>
    <xf numFmtId="166" fontId="8" fillId="0" borderId="4" xfId="3" applyNumberFormat="1" applyFont="1" applyBorder="1"/>
    <xf numFmtId="166" fontId="8" fillId="0" borderId="3" xfId="3" applyNumberFormat="1" applyFont="1" applyBorder="1"/>
    <xf numFmtId="166" fontId="8" fillId="0" borderId="5" xfId="3" applyNumberFormat="1" applyFont="1" applyBorder="1"/>
    <xf numFmtId="166" fontId="8" fillId="0" borderId="3" xfId="3" applyNumberFormat="1" applyFont="1" applyBorder="1" applyAlignment="1">
      <alignment horizontal="right"/>
    </xf>
    <xf numFmtId="49" fontId="6" fillId="0" borderId="3" xfId="0" applyNumberFormat="1" applyFont="1" applyBorder="1" applyAlignment="1">
      <alignment horizontal="right"/>
    </xf>
    <xf numFmtId="49" fontId="12" fillId="0" borderId="3" xfId="0" applyNumberFormat="1" applyFont="1" applyBorder="1" applyAlignment="1">
      <alignment horizontal="right"/>
    </xf>
    <xf numFmtId="0" fontId="6" fillId="0" borderId="3" xfId="3" applyFont="1" applyBorder="1" applyAlignment="1">
      <alignment horizontal="right"/>
    </xf>
    <xf numFmtId="0" fontId="6" fillId="0" borderId="39" xfId="3" applyFont="1" applyBorder="1" applyAlignment="1">
      <alignment horizontal="right"/>
    </xf>
    <xf numFmtId="171" fontId="6" fillId="0" borderId="40" xfId="3" applyNumberFormat="1" applyFont="1" applyBorder="1"/>
    <xf numFmtId="0" fontId="8" fillId="0" borderId="3" xfId="3" applyFont="1" applyBorder="1" applyAlignment="1">
      <alignment horizontal="right"/>
    </xf>
    <xf numFmtId="0" fontId="41" fillId="0" borderId="0" xfId="0" applyFont="1"/>
    <xf numFmtId="0" fontId="41" fillId="0" borderId="0" xfId="0" applyFont="1" applyAlignment="1">
      <alignment horizontal="justify" vertical="center"/>
    </xf>
    <xf numFmtId="0" fontId="2" fillId="0" borderId="0" xfId="0" applyFont="1" applyAlignment="1">
      <alignment horizontal="right"/>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0" fontId="2" fillId="0" borderId="41" xfId="0" applyFont="1" applyBorder="1" applyAlignment="1">
      <alignment horizontal="center" vertical="top" wrapText="1"/>
    </xf>
    <xf numFmtId="0" fontId="2" fillId="0" borderId="42" xfId="0" applyFont="1" applyBorder="1" applyAlignment="1">
      <alignment horizontal="center" vertical="top" wrapText="1"/>
    </xf>
    <xf numFmtId="0" fontId="0" fillId="0" borderId="43" xfId="0" applyBorder="1" applyAlignment="1">
      <alignment vertical="center" wrapText="1"/>
    </xf>
    <xf numFmtId="0" fontId="0" fillId="0" borderId="23" xfId="0" applyBorder="1" applyAlignment="1">
      <alignment vertical="center" wrapText="1"/>
    </xf>
    <xf numFmtId="43" fontId="0" fillId="0" borderId="23" xfId="0" applyNumberFormat="1" applyBorder="1" applyAlignment="1">
      <alignment vertical="center" wrapText="1"/>
    </xf>
    <xf numFmtId="43" fontId="0" fillId="0" borderId="44" xfId="0" applyNumberFormat="1" applyBorder="1" applyAlignment="1">
      <alignment vertical="center" wrapText="1"/>
    </xf>
    <xf numFmtId="0" fontId="0" fillId="0" borderId="28" xfId="0" applyBorder="1"/>
    <xf numFmtId="0" fontId="0" fillId="19" borderId="28" xfId="0" applyFill="1" applyBorder="1"/>
    <xf numFmtId="0" fontId="0" fillId="19" borderId="9" xfId="0" applyFill="1" applyBorder="1"/>
    <xf numFmtId="0" fontId="2" fillId="19" borderId="9" xfId="0" applyFont="1" applyFill="1" applyBorder="1"/>
    <xf numFmtId="43" fontId="0" fillId="19" borderId="23" xfId="0" applyNumberFormat="1" applyFill="1" applyBorder="1" applyAlignment="1">
      <alignment vertical="center" wrapText="1"/>
    </xf>
    <xf numFmtId="43" fontId="0" fillId="19" borderId="29" xfId="0" applyNumberFormat="1" applyFill="1" applyBorder="1"/>
    <xf numFmtId="49" fontId="22" fillId="11" borderId="0" xfId="0" applyNumberFormat="1" applyFont="1" applyFill="1" applyAlignment="1">
      <alignment horizontal="center" vertical="top" readingOrder="1"/>
    </xf>
    <xf numFmtId="0" fontId="0" fillId="0" borderId="0" xfId="0" applyAlignment="1">
      <alignment horizontal="left"/>
    </xf>
    <xf numFmtId="0" fontId="0" fillId="20" borderId="0" xfId="0" applyFill="1"/>
    <xf numFmtId="0" fontId="6" fillId="4" borderId="0" xfId="0" applyFont="1" applyFill="1" applyAlignment="1">
      <alignment horizontal="center" wrapText="1"/>
    </xf>
    <xf numFmtId="164" fontId="6" fillId="4" borderId="11" xfId="1" applyNumberFormat="1" applyFont="1" applyFill="1" applyBorder="1" applyAlignment="1">
      <alignment horizontal="center" vertical="center" wrapText="1"/>
    </xf>
    <xf numFmtId="164" fontId="6" fillId="4" borderId="12" xfId="1" applyNumberFormat="1" applyFont="1" applyFill="1" applyBorder="1" applyAlignment="1">
      <alignment horizontal="center" vertical="center" wrapText="1"/>
    </xf>
    <xf numFmtId="164" fontId="6" fillId="4" borderId="20" xfId="1" applyNumberFormat="1" applyFont="1" applyFill="1" applyBorder="1" applyAlignment="1">
      <alignment horizontal="center" vertical="center" wrapText="1"/>
    </xf>
    <xf numFmtId="164" fontId="6" fillId="4" borderId="8" xfId="1" applyNumberFormat="1" applyFont="1" applyFill="1" applyBorder="1" applyAlignment="1">
      <alignment horizontal="center" vertical="center" wrapText="1"/>
    </xf>
    <xf numFmtId="164" fontId="6" fillId="4" borderId="23" xfId="1" applyNumberFormat="1" applyFont="1" applyFill="1" applyBorder="1" applyAlignment="1">
      <alignment horizontal="center" vertical="center" wrapText="1"/>
    </xf>
    <xf numFmtId="166" fontId="14" fillId="0" borderId="0" xfId="3" applyNumberFormat="1" applyFont="1"/>
    <xf numFmtId="171" fontId="8" fillId="0" borderId="0" xfId="3" applyNumberFormat="1" applyFont="1"/>
    <xf numFmtId="171" fontId="6" fillId="0" borderId="0" xfId="3" applyNumberFormat="1" applyFont="1"/>
    <xf numFmtId="49" fontId="12" fillId="0" borderId="45" xfId="0" applyNumberFormat="1" applyFont="1" applyBorder="1"/>
    <xf numFmtId="165" fontId="6" fillId="0" borderId="0" xfId="1" applyNumberFormat="1" applyFont="1" applyBorder="1"/>
    <xf numFmtId="164" fontId="6" fillId="0" borderId="0" xfId="1" applyNumberFormat="1" applyFont="1" applyBorder="1" applyAlignment="1">
      <alignment horizontal="center" wrapText="1"/>
    </xf>
    <xf numFmtId="164" fontId="6" fillId="0" borderId="0" xfId="1" applyNumberFormat="1" applyFont="1" applyBorder="1"/>
    <xf numFmtId="164" fontId="6" fillId="0" borderId="0" xfId="1" applyNumberFormat="1" applyFont="1" applyBorder="1" applyAlignment="1">
      <alignment horizontal="left"/>
    </xf>
    <xf numFmtId="165" fontId="8" fillId="0" borderId="0" xfId="1" applyNumberFormat="1" applyFont="1" applyBorder="1"/>
    <xf numFmtId="49" fontId="12" fillId="0" borderId="13" xfId="0" applyNumberFormat="1" applyFont="1" applyBorder="1"/>
    <xf numFmtId="165" fontId="39" fillId="0" borderId="0" xfId="1" applyNumberFormat="1" applyFont="1" applyBorder="1"/>
    <xf numFmtId="165" fontId="6" fillId="6" borderId="0" xfId="1" applyNumberFormat="1" applyFont="1" applyFill="1" applyBorder="1"/>
    <xf numFmtId="164" fontId="8" fillId="0" borderId="0" xfId="1" applyNumberFormat="1" applyFont="1" applyBorder="1"/>
    <xf numFmtId="49" fontId="12" fillId="0" borderId="12" xfId="0" applyNumberFormat="1" applyFont="1" applyBorder="1"/>
    <xf numFmtId="165" fontId="6" fillId="0" borderId="0" xfId="1" applyNumberFormat="1" applyFont="1" applyFill="1" applyBorder="1"/>
    <xf numFmtId="0" fontId="18" fillId="0" borderId="0" xfId="3" applyFont="1"/>
    <xf numFmtId="14" fontId="6" fillId="0" borderId="0" xfId="3" applyNumberFormat="1" applyFont="1"/>
    <xf numFmtId="164" fontId="8" fillId="0" borderId="0" xfId="1" applyNumberFormat="1" applyFont="1" applyBorder="1" applyProtection="1">
      <protection locked="0"/>
    </xf>
    <xf numFmtId="164" fontId="8" fillId="6" borderId="0" xfId="1" applyNumberFormat="1" applyFont="1" applyFill="1" applyBorder="1" applyProtection="1">
      <protection locked="0"/>
    </xf>
    <xf numFmtId="164" fontId="8" fillId="0" borderId="18" xfId="1" applyNumberFormat="1" applyFont="1" applyBorder="1"/>
    <xf numFmtId="49" fontId="12" fillId="0" borderId="22" xfId="0" applyNumberFormat="1" applyFont="1" applyBorder="1"/>
    <xf numFmtId="0" fontId="2" fillId="0" borderId="12" xfId="0" applyFont="1" applyBorder="1" applyAlignment="1">
      <alignment horizontal="center" vertical="top" wrapText="1"/>
    </xf>
    <xf numFmtId="0" fontId="2" fillId="0" borderId="15" xfId="0" applyFont="1" applyBorder="1" applyAlignment="1">
      <alignment horizontal="center" vertical="top" wrapText="1"/>
    </xf>
    <xf numFmtId="0" fontId="2" fillId="0" borderId="13" xfId="0" applyFont="1" applyBorder="1" applyAlignment="1">
      <alignment horizontal="center" vertical="top" wrapText="1"/>
    </xf>
    <xf numFmtId="0" fontId="2" fillId="0" borderId="47" xfId="0" applyFont="1" applyBorder="1" applyAlignment="1">
      <alignment horizontal="center" vertical="top" wrapText="1"/>
    </xf>
    <xf numFmtId="49" fontId="2" fillId="0" borderId="46" xfId="0" applyNumberFormat="1" applyFont="1" applyBorder="1" applyAlignment="1">
      <alignment horizontal="center" vertical="top" wrapText="1"/>
    </xf>
    <xf numFmtId="168" fontId="29" fillId="15" borderId="8" xfId="0" applyNumberFormat="1" applyFont="1" applyFill="1" applyBorder="1" applyAlignment="1">
      <alignment horizontal="center" vertical="center" wrapText="1"/>
    </xf>
    <xf numFmtId="168" fontId="29" fillId="2" borderId="8" xfId="0" applyNumberFormat="1" applyFont="1" applyFill="1" applyBorder="1" applyAlignment="1">
      <alignment horizontal="center" vertical="center" wrapText="1"/>
    </xf>
    <xf numFmtId="168" fontId="29" fillId="14" borderId="8" xfId="0" applyNumberFormat="1" applyFont="1" applyFill="1" applyBorder="1" applyAlignment="1">
      <alignment horizontal="center" vertical="center" wrapText="1"/>
    </xf>
    <xf numFmtId="0" fontId="0" fillId="12" borderId="9" xfId="0" applyFill="1" applyBorder="1"/>
    <xf numFmtId="0" fontId="0" fillId="7" borderId="0" xfId="0" applyFill="1"/>
    <xf numFmtId="173" fontId="0" fillId="0" borderId="0" xfId="0" applyNumberFormat="1"/>
    <xf numFmtId="0" fontId="2" fillId="0" borderId="36"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2" fillId="0" borderId="41" xfId="0" applyFont="1" applyBorder="1" applyAlignment="1" applyProtection="1">
      <alignment horizontal="center" vertical="top" wrapText="1"/>
      <protection locked="0"/>
    </xf>
    <xf numFmtId="0" fontId="2" fillId="0" borderId="42" xfId="0" applyFont="1" applyBorder="1" applyAlignment="1" applyProtection="1">
      <alignment horizontal="center" vertical="top" wrapText="1"/>
      <protection locked="0"/>
    </xf>
    <xf numFmtId="43" fontId="0" fillId="14" borderId="23" xfId="0" applyNumberFormat="1" applyFill="1" applyBorder="1" applyAlignment="1">
      <alignment vertical="center" wrapText="1"/>
    </xf>
    <xf numFmtId="0" fontId="0" fillId="0" borderId="49" xfId="0" applyBorder="1" applyAlignment="1">
      <alignment vertical="center" wrapText="1"/>
    </xf>
    <xf numFmtId="0" fontId="0" fillId="0" borderId="50" xfId="0" applyBorder="1"/>
    <xf numFmtId="43" fontId="0" fillId="0" borderId="49" xfId="0" applyNumberFormat="1" applyBorder="1" applyAlignment="1">
      <alignment vertical="center" wrapText="1"/>
    </xf>
    <xf numFmtId="0" fontId="0" fillId="7" borderId="32" xfId="0" applyFill="1" applyBorder="1"/>
    <xf numFmtId="172" fontId="0" fillId="0" borderId="9" xfId="1" applyNumberFormat="1" applyFont="1" applyBorder="1"/>
    <xf numFmtId="172" fontId="0" fillId="0" borderId="9" xfId="0" applyNumberFormat="1" applyBorder="1"/>
    <xf numFmtId="0" fontId="26" fillId="0" borderId="0" xfId="0" applyFont="1" applyAlignment="1">
      <alignment horizontal="right"/>
    </xf>
    <xf numFmtId="43" fontId="28" fillId="0" borderId="0" xfId="0" applyNumberFormat="1" applyFont="1"/>
    <xf numFmtId="0" fontId="26" fillId="0" borderId="0" xfId="0" applyFont="1" applyAlignment="1">
      <alignment horizontal="left"/>
    </xf>
    <xf numFmtId="0" fontId="26" fillId="0" borderId="0" xfId="0" applyFont="1" applyAlignment="1">
      <alignment horizontal="right" vertical="center" wrapText="1"/>
    </xf>
    <xf numFmtId="0" fontId="27" fillId="0" borderId="0" xfId="0" applyFont="1" applyAlignment="1">
      <alignment horizontal="center" vertical="center" wrapText="1"/>
    </xf>
    <xf numFmtId="0" fontId="29" fillId="10" borderId="8" xfId="0" applyFont="1" applyFill="1" applyBorder="1" applyAlignment="1">
      <alignment horizontal="right" vertical="center" wrapText="1"/>
    </xf>
    <xf numFmtId="43" fontId="30" fillId="0" borderId="0" xfId="0" applyNumberFormat="1" applyFont="1" applyAlignment="1">
      <alignment horizontal="center"/>
    </xf>
    <xf numFmtId="0" fontId="29" fillId="10" borderId="20" xfId="0" applyFont="1" applyFill="1" applyBorder="1" applyAlignment="1">
      <alignment horizontal="right" vertical="center" wrapText="1"/>
    </xf>
    <xf numFmtId="0" fontId="29" fillId="0" borderId="0" xfId="0" applyFont="1" applyAlignment="1">
      <alignment horizontal="center" wrapText="1"/>
    </xf>
    <xf numFmtId="43" fontId="29" fillId="0" borderId="0" xfId="0" applyNumberFormat="1" applyFont="1" applyAlignment="1">
      <alignment horizontal="center"/>
    </xf>
    <xf numFmtId="0" fontId="28" fillId="0" borderId="23" xfId="0" applyFont="1" applyBorder="1" applyAlignment="1">
      <alignment horizontal="right"/>
    </xf>
    <xf numFmtId="43" fontId="0" fillId="0" borderId="0" xfId="0" applyNumberFormat="1"/>
    <xf numFmtId="0" fontId="30" fillId="9" borderId="15" xfId="0" applyFont="1" applyFill="1" applyBorder="1" applyAlignment="1">
      <alignment horizontal="center"/>
    </xf>
    <xf numFmtId="0" fontId="30" fillId="12" borderId="15" xfId="0" applyFont="1" applyFill="1" applyBorder="1" applyAlignment="1">
      <alignment horizontal="center"/>
    </xf>
    <xf numFmtId="0" fontId="30" fillId="2" borderId="20" xfId="0" applyFont="1" applyFill="1" applyBorder="1" applyAlignment="1">
      <alignment horizontal="center"/>
    </xf>
    <xf numFmtId="0" fontId="30" fillId="13" borderId="20" xfId="0" applyFont="1" applyFill="1" applyBorder="1" applyAlignment="1">
      <alignment horizontal="center"/>
    </xf>
    <xf numFmtId="0" fontId="30" fillId="14" borderId="20" xfId="0" applyFont="1" applyFill="1" applyBorder="1" applyAlignment="1">
      <alignment horizontal="center"/>
    </xf>
    <xf numFmtId="0" fontId="30" fillId="15" borderId="20" xfId="0" applyFont="1" applyFill="1" applyBorder="1" applyAlignment="1">
      <alignment horizontal="center"/>
    </xf>
    <xf numFmtId="0" fontId="30" fillId="10" borderId="20" xfId="0" applyFont="1" applyFill="1" applyBorder="1" applyAlignment="1">
      <alignment horizontal="center"/>
    </xf>
    <xf numFmtId="0" fontId="30" fillId="16" borderId="20" xfId="0" applyFont="1" applyFill="1" applyBorder="1" applyAlignment="1">
      <alignment horizontal="center"/>
    </xf>
    <xf numFmtId="0" fontId="30" fillId="3" borderId="20" xfId="0" applyFont="1" applyFill="1" applyBorder="1" applyAlignment="1">
      <alignment horizontal="center"/>
    </xf>
    <xf numFmtId="0" fontId="30" fillId="17" borderId="20" xfId="0" applyFont="1" applyFill="1" applyBorder="1" applyAlignment="1">
      <alignment horizontal="center"/>
    </xf>
    <xf numFmtId="0" fontId="30" fillId="18" borderId="20" xfId="0" applyFont="1" applyFill="1" applyBorder="1" applyAlignment="1">
      <alignment horizontal="center"/>
    </xf>
    <xf numFmtId="49" fontId="30" fillId="10" borderId="9" xfId="0" applyNumberFormat="1" applyFont="1" applyFill="1" applyBorder="1" applyAlignment="1">
      <alignment horizontal="center"/>
    </xf>
    <xf numFmtId="0" fontId="30" fillId="18" borderId="10" xfId="0" applyFont="1" applyFill="1" applyBorder="1" applyAlignment="1">
      <alignment horizontal="center"/>
    </xf>
    <xf numFmtId="0" fontId="27" fillId="0" borderId="9" xfId="0" applyFont="1" applyBorder="1" applyAlignment="1">
      <alignment horizontal="right" vertical="center" wrapText="1"/>
    </xf>
    <xf numFmtId="0" fontId="27" fillId="0" borderId="9" xfId="0" applyFont="1" applyBorder="1" applyAlignment="1">
      <alignment horizontal="left" vertical="center" wrapText="1"/>
    </xf>
    <xf numFmtId="0" fontId="28" fillId="0" borderId="9" xfId="0" applyFont="1" applyBorder="1"/>
    <xf numFmtId="172" fontId="0" fillId="0" borderId="8" xfId="1" applyNumberFormat="1" applyFont="1" applyBorder="1"/>
    <xf numFmtId="173" fontId="0" fillId="0" borderId="9" xfId="0" applyNumberFormat="1" applyBorder="1"/>
    <xf numFmtId="0" fontId="30" fillId="0" borderId="9" xfId="0" applyFont="1" applyBorder="1" applyAlignment="1">
      <alignment horizontal="right" wrapText="1"/>
    </xf>
    <xf numFmtId="0" fontId="30" fillId="0" borderId="9" xfId="0" applyFont="1" applyBorder="1" applyAlignment="1">
      <alignment wrapText="1"/>
    </xf>
    <xf numFmtId="0" fontId="28" fillId="0" borderId="9" xfId="0" applyFont="1" applyBorder="1" applyAlignment="1">
      <alignment horizontal="right"/>
    </xf>
    <xf numFmtId="0" fontId="27" fillId="0" borderId="0" xfId="0" applyFont="1" applyAlignment="1">
      <alignment horizontal="right" vertical="center" wrapText="1"/>
    </xf>
    <xf numFmtId="0" fontId="27" fillId="0" borderId="0" xfId="0" applyFont="1" applyAlignment="1">
      <alignment horizontal="left" vertical="center" wrapText="1"/>
    </xf>
    <xf numFmtId="172" fontId="0" fillId="0" borderId="0" xfId="1" applyNumberFormat="1" applyFont="1" applyBorder="1"/>
    <xf numFmtId="172" fontId="0" fillId="0" borderId="8" xfId="0" applyNumberFormat="1" applyBorder="1"/>
    <xf numFmtId="0" fontId="42" fillId="0" borderId="50" xfId="0" applyFont="1" applyBorder="1" applyAlignment="1">
      <alignment horizontal="right"/>
    </xf>
    <xf numFmtId="0" fontId="42" fillId="0" borderId="50" xfId="0" applyFont="1" applyBorder="1"/>
    <xf numFmtId="0" fontId="2" fillId="0" borderId="50" xfId="0" applyFont="1" applyBorder="1"/>
    <xf numFmtId="172" fontId="2" fillId="0" borderId="50" xfId="1" applyNumberFormat="1" applyFont="1" applyBorder="1"/>
    <xf numFmtId="43" fontId="2" fillId="0" borderId="0" xfId="0" applyNumberFormat="1" applyFont="1"/>
    <xf numFmtId="172" fontId="30" fillId="9" borderId="15" xfId="0" applyNumberFormat="1" applyFont="1" applyFill="1" applyBorder="1" applyAlignment="1">
      <alignment horizontal="center"/>
    </xf>
    <xf numFmtId="172" fontId="30" fillId="12" borderId="15" xfId="0" applyNumberFormat="1" applyFont="1" applyFill="1" applyBorder="1" applyAlignment="1">
      <alignment horizontal="center"/>
    </xf>
    <xf numFmtId="172" fontId="30" fillId="2" borderId="20" xfId="0" applyNumberFormat="1" applyFont="1" applyFill="1" applyBorder="1" applyAlignment="1">
      <alignment horizontal="center"/>
    </xf>
    <xf numFmtId="172" fontId="30" fillId="13" borderId="20" xfId="0" applyNumberFormat="1" applyFont="1" applyFill="1" applyBorder="1" applyAlignment="1">
      <alignment horizontal="center"/>
    </xf>
    <xf numFmtId="172" fontId="30" fillId="14" borderId="20" xfId="0" applyNumberFormat="1" applyFont="1" applyFill="1" applyBorder="1" applyAlignment="1">
      <alignment horizontal="center"/>
    </xf>
    <xf numFmtId="172" fontId="30" fillId="15" borderId="20" xfId="0" applyNumberFormat="1" applyFont="1" applyFill="1" applyBorder="1" applyAlignment="1">
      <alignment horizontal="center"/>
    </xf>
    <xf numFmtId="172" fontId="30" fillId="10" borderId="20" xfId="0" applyNumberFormat="1" applyFont="1" applyFill="1" applyBorder="1" applyAlignment="1">
      <alignment horizontal="center"/>
    </xf>
    <xf numFmtId="172" fontId="30" fillId="16" borderId="20" xfId="0" applyNumberFormat="1" applyFont="1" applyFill="1" applyBorder="1" applyAlignment="1">
      <alignment horizontal="center"/>
    </xf>
    <xf numFmtId="172" fontId="30" fillId="3" borderId="20" xfId="0" applyNumberFormat="1" applyFont="1" applyFill="1" applyBorder="1" applyAlignment="1">
      <alignment horizontal="center"/>
    </xf>
    <xf numFmtId="172" fontId="30" fillId="17" borderId="20" xfId="0" applyNumberFormat="1" applyFont="1" applyFill="1" applyBorder="1" applyAlignment="1">
      <alignment horizontal="center"/>
    </xf>
    <xf numFmtId="172" fontId="30" fillId="18" borderId="20" xfId="0" applyNumberFormat="1" applyFont="1" applyFill="1" applyBorder="1" applyAlignment="1">
      <alignment horizontal="center"/>
    </xf>
    <xf numFmtId="172" fontId="0" fillId="0" borderId="0" xfId="0" applyNumberFormat="1"/>
    <xf numFmtId="0" fontId="28" fillId="0" borderId="0" xfId="0" applyFont="1" applyAlignment="1">
      <alignment horizontal="right"/>
    </xf>
    <xf numFmtId="4" fontId="8" fillId="0" borderId="20" xfId="0" applyNumberFormat="1" applyFont="1" applyBorder="1"/>
    <xf numFmtId="165" fontId="8" fillId="0" borderId="20" xfId="1" applyNumberFormat="1" applyFont="1" applyBorder="1" applyProtection="1"/>
    <xf numFmtId="49" fontId="12" fillId="0" borderId="17" xfId="0" applyNumberFormat="1" applyFont="1" applyBorder="1"/>
    <xf numFmtId="0" fontId="8" fillId="0" borderId="0" xfId="0" applyFont="1" applyProtection="1">
      <protection locked="0"/>
    </xf>
    <xf numFmtId="0" fontId="6" fillId="0" borderId="0" xfId="0" applyFont="1" applyAlignment="1" applyProtection="1">
      <alignment horizontal="left" wrapText="1"/>
      <protection locked="0"/>
    </xf>
    <xf numFmtId="0" fontId="6" fillId="0" borderId="0" xfId="0" applyFont="1" applyAlignment="1" applyProtection="1">
      <alignment wrapText="1"/>
      <protection locked="0"/>
    </xf>
    <xf numFmtId="0" fontId="12" fillId="0" borderId="0" xfId="0" applyFont="1" applyProtection="1">
      <protection locked="0"/>
    </xf>
    <xf numFmtId="166" fontId="6" fillId="4" borderId="23" xfId="3" applyNumberFormat="1" applyFont="1" applyFill="1" applyBorder="1"/>
    <xf numFmtId="166" fontId="39" fillId="0" borderId="0" xfId="3" applyNumberFormat="1" applyFont="1"/>
    <xf numFmtId="0" fontId="8" fillId="0" borderId="0" xfId="3" applyFont="1"/>
    <xf numFmtId="49" fontId="9" fillId="0" borderId="13" xfId="0" applyNumberFormat="1" applyFont="1" applyBorder="1"/>
    <xf numFmtId="166" fontId="16" fillId="0" borderId="0" xfId="3" applyNumberFormat="1" applyFont="1"/>
    <xf numFmtId="49" fontId="12" fillId="0" borderId="19" xfId="0" applyNumberFormat="1" applyFont="1" applyBorder="1"/>
    <xf numFmtId="0" fontId="6" fillId="0" borderId="18" xfId="3" applyFont="1" applyBorder="1"/>
    <xf numFmtId="165" fontId="6" fillId="0" borderId="18" xfId="1" applyNumberFormat="1" applyFont="1" applyBorder="1"/>
    <xf numFmtId="166" fontId="6" fillId="0" borderId="22" xfId="3" applyNumberFormat="1" applyFont="1" applyBorder="1"/>
    <xf numFmtId="0" fontId="44" fillId="21" borderId="0" xfId="0" applyFont="1" applyFill="1"/>
    <xf numFmtId="0" fontId="45" fillId="21" borderId="0" xfId="0" applyFont="1" applyFill="1"/>
    <xf numFmtId="0" fontId="44" fillId="6" borderId="0" xfId="0" applyFont="1" applyFill="1"/>
    <xf numFmtId="0" fontId="45" fillId="6" borderId="0" xfId="0" applyFont="1" applyFill="1"/>
    <xf numFmtId="0" fontId="46" fillId="0" borderId="0" xfId="0" applyFont="1"/>
    <xf numFmtId="0" fontId="44" fillId="21" borderId="9" xfId="0" applyFont="1" applyFill="1" applyBorder="1"/>
    <xf numFmtId="0" fontId="44" fillId="21" borderId="9" xfId="0" applyFont="1" applyFill="1" applyBorder="1" applyAlignment="1">
      <alignment horizontal="left"/>
    </xf>
    <xf numFmtId="49" fontId="47" fillId="3" borderId="0" xfId="0" applyNumberFormat="1" applyFont="1" applyFill="1"/>
    <xf numFmtId="0" fontId="46" fillId="3" borderId="0" xfId="0" applyFont="1" applyFill="1"/>
    <xf numFmtId="0" fontId="2" fillId="0" borderId="0" xfId="0" applyFont="1" applyAlignment="1">
      <alignment horizontal="left"/>
    </xf>
    <xf numFmtId="0" fontId="48" fillId="0" borderId="0" xfId="0" applyFont="1"/>
    <xf numFmtId="40" fontId="46" fillId="0" borderId="33" xfId="0" applyNumberFormat="1" applyFont="1" applyBorder="1" applyAlignment="1">
      <alignment horizontal="center"/>
    </xf>
    <xf numFmtId="40" fontId="48" fillId="0" borderId="34" xfId="0" applyNumberFormat="1" applyFont="1" applyBorder="1" applyAlignment="1">
      <alignment horizontal="right"/>
    </xf>
    <xf numFmtId="40" fontId="48" fillId="0" borderId="0" xfId="0" applyNumberFormat="1" applyFont="1" applyAlignment="1">
      <alignment horizontal="right"/>
    </xf>
    <xf numFmtId="0" fontId="49" fillId="6" borderId="38" xfId="0" applyFont="1" applyFill="1" applyBorder="1" applyAlignment="1">
      <alignment horizontal="center" vertical="center" wrapText="1"/>
    </xf>
    <xf numFmtId="0" fontId="49" fillId="6" borderId="51" xfId="0" applyFont="1" applyFill="1" applyBorder="1" applyAlignment="1">
      <alignment horizontal="center" vertical="center" wrapText="1"/>
    </xf>
    <xf numFmtId="40" fontId="49" fillId="6" borderId="34" xfId="0" applyNumberFormat="1" applyFont="1" applyFill="1" applyBorder="1" applyAlignment="1">
      <alignment horizontal="center" vertical="center" wrapText="1"/>
    </xf>
    <xf numFmtId="0" fontId="48" fillId="6" borderId="0" xfId="0" applyFont="1" applyFill="1"/>
    <xf numFmtId="0" fontId="49" fillId="6" borderId="43" xfId="0" applyFont="1" applyFill="1" applyBorder="1" applyAlignment="1">
      <alignment horizontal="center" vertical="center" wrapText="1"/>
    </xf>
    <xf numFmtId="0" fontId="49" fillId="6" borderId="44" xfId="0" applyFont="1" applyFill="1" applyBorder="1" applyAlignment="1">
      <alignment horizontal="center" vertical="center" wrapText="1"/>
    </xf>
    <xf numFmtId="40" fontId="49" fillId="6" borderId="5" xfId="0" applyNumberFormat="1" applyFont="1" applyFill="1" applyBorder="1" applyAlignment="1">
      <alignment horizontal="center" vertical="center" wrapText="1"/>
    </xf>
    <xf numFmtId="0" fontId="49" fillId="6" borderId="36" xfId="0" applyFont="1" applyFill="1" applyBorder="1" applyAlignment="1">
      <alignment horizontal="center" vertical="center" wrapText="1"/>
    </xf>
    <xf numFmtId="0" fontId="49" fillId="6" borderId="41" xfId="0" applyFont="1" applyFill="1" applyBorder="1" applyAlignment="1">
      <alignment horizontal="center" vertical="center" wrapText="1"/>
    </xf>
    <xf numFmtId="0" fontId="49" fillId="6" borderId="46" xfId="0" applyFont="1" applyFill="1" applyBorder="1" applyAlignment="1">
      <alignment horizontal="center" vertical="center" wrapText="1"/>
    </xf>
    <xf numFmtId="0" fontId="49" fillId="6" borderId="47"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9" fillId="6" borderId="54" xfId="0" applyFont="1" applyFill="1" applyBorder="1" applyAlignment="1">
      <alignment horizontal="center" vertical="center" wrapText="1"/>
    </xf>
    <xf numFmtId="40" fontId="49" fillId="6" borderId="0" xfId="0" applyNumberFormat="1" applyFont="1" applyFill="1" applyAlignment="1">
      <alignment horizontal="center" vertical="center" wrapText="1"/>
    </xf>
    <xf numFmtId="0" fontId="48" fillId="0" borderId="30" xfId="0" applyFont="1" applyBorder="1"/>
    <xf numFmtId="0" fontId="48" fillId="0" borderId="31" xfId="0" applyFont="1" applyBorder="1"/>
    <xf numFmtId="40" fontId="48" fillId="0" borderId="52" xfId="0" applyNumberFormat="1" applyFont="1" applyBorder="1" applyAlignment="1">
      <alignment horizontal="right"/>
    </xf>
    <xf numFmtId="0" fontId="48" fillId="3" borderId="26" xfId="0" applyFont="1" applyFill="1" applyBorder="1" applyProtection="1">
      <protection locked="0"/>
    </xf>
    <xf numFmtId="0" fontId="48" fillId="3" borderId="55" xfId="0" applyFont="1" applyFill="1" applyBorder="1" applyProtection="1">
      <protection locked="0"/>
    </xf>
    <xf numFmtId="0" fontId="48" fillId="3" borderId="27" xfId="0" applyFont="1" applyFill="1" applyBorder="1" applyProtection="1">
      <protection locked="0"/>
    </xf>
    <xf numFmtId="0" fontId="48" fillId="3" borderId="35" xfId="0" applyFont="1" applyFill="1" applyBorder="1" applyProtection="1">
      <protection locked="0"/>
    </xf>
    <xf numFmtId="40" fontId="48" fillId="0" borderId="52" xfId="0" applyNumberFormat="1" applyFont="1" applyBorder="1" applyAlignment="1" applyProtection="1">
      <alignment horizontal="right"/>
      <protection locked="0"/>
    </xf>
    <xf numFmtId="44" fontId="48" fillId="3" borderId="14" xfId="0" applyNumberFormat="1" applyFont="1" applyFill="1" applyBorder="1" applyAlignment="1" applyProtection="1">
      <alignment horizontal="right"/>
      <protection locked="0"/>
    </xf>
    <xf numFmtId="44" fontId="48" fillId="3" borderId="9" xfId="0" applyNumberFormat="1" applyFont="1" applyFill="1" applyBorder="1" applyAlignment="1" applyProtection="1">
      <alignment horizontal="right"/>
      <protection locked="0"/>
    </xf>
    <xf numFmtId="44" fontId="48" fillId="3" borderId="29" xfId="0" applyNumberFormat="1" applyFont="1" applyFill="1" applyBorder="1" applyAlignment="1" applyProtection="1">
      <alignment horizontal="right"/>
      <protection locked="0"/>
    </xf>
    <xf numFmtId="44" fontId="48" fillId="0" borderId="52" xfId="0" applyNumberFormat="1" applyFont="1" applyBorder="1" applyAlignment="1" applyProtection="1">
      <alignment horizontal="right"/>
      <protection locked="0"/>
    </xf>
    <xf numFmtId="0" fontId="50" fillId="22" borderId="38" xfId="0" applyFont="1" applyFill="1" applyBorder="1" applyAlignment="1">
      <alignment horizontal="center" vertical="center" wrapText="1"/>
    </xf>
    <xf numFmtId="0" fontId="50" fillId="22" borderId="51" xfId="0" applyFont="1" applyFill="1" applyBorder="1" applyAlignment="1">
      <alignment horizontal="center" vertical="center" wrapText="1"/>
    </xf>
    <xf numFmtId="40" fontId="50" fillId="0" borderId="34" xfId="0" applyNumberFormat="1" applyFont="1" applyBorder="1" applyAlignment="1">
      <alignment horizontal="center" vertical="center" wrapText="1"/>
    </xf>
    <xf numFmtId="0" fontId="50" fillId="22" borderId="43" xfId="0" applyFont="1" applyFill="1" applyBorder="1" applyAlignment="1">
      <alignment horizontal="center" vertical="center" wrapText="1"/>
    </xf>
    <xf numFmtId="0" fontId="50" fillId="22" borderId="44" xfId="0" applyFont="1" applyFill="1" applyBorder="1" applyAlignment="1">
      <alignment horizontal="center" vertical="center" wrapText="1"/>
    </xf>
    <xf numFmtId="0" fontId="50" fillId="22" borderId="36" xfId="0" applyFont="1" applyFill="1" applyBorder="1" applyAlignment="1">
      <alignment horizontal="center" vertical="center" wrapText="1"/>
    </xf>
    <xf numFmtId="0" fontId="50" fillId="22" borderId="42" xfId="0" applyFont="1" applyFill="1" applyBorder="1" applyAlignment="1">
      <alignment horizontal="center" vertical="center" wrapText="1"/>
    </xf>
    <xf numFmtId="0" fontId="50" fillId="22" borderId="46" xfId="0" applyFont="1" applyFill="1" applyBorder="1" applyAlignment="1">
      <alignment horizontal="center" vertical="center" wrapText="1"/>
    </xf>
    <xf numFmtId="0" fontId="50" fillId="22" borderId="47" xfId="0" applyFont="1" applyFill="1" applyBorder="1" applyAlignment="1">
      <alignment horizontal="center" vertical="center" wrapText="1"/>
    </xf>
    <xf numFmtId="0" fontId="0" fillId="0" borderId="30" xfId="0" applyBorder="1"/>
    <xf numFmtId="0" fontId="0" fillId="0" borderId="31" xfId="0" applyBorder="1"/>
    <xf numFmtId="40" fontId="0" fillId="0" borderId="52" xfId="0" applyNumberFormat="1" applyBorder="1" applyAlignment="1">
      <alignment horizontal="right"/>
    </xf>
    <xf numFmtId="0" fontId="0" fillId="3" borderId="36" xfId="0" applyFill="1" applyBorder="1"/>
    <xf numFmtId="0" fontId="0" fillId="3" borderId="42" xfId="0" applyFill="1" applyBorder="1"/>
    <xf numFmtId="168" fontId="38" fillId="0" borderId="0" xfId="7" applyNumberFormat="1" applyAlignment="1">
      <alignment horizontal="left" wrapText="1"/>
    </xf>
    <xf numFmtId="168" fontId="38" fillId="0" borderId="0" xfId="7" applyNumberFormat="1" applyAlignment="1">
      <alignment horizontal="left"/>
    </xf>
    <xf numFmtId="168" fontId="38" fillId="0" borderId="0" xfId="7" applyNumberFormat="1" applyAlignment="1">
      <alignment horizontal="center"/>
    </xf>
    <xf numFmtId="9" fontId="38" fillId="0" borderId="0" xfId="7" applyNumberFormat="1" applyAlignment="1">
      <alignment horizontal="center"/>
    </xf>
    <xf numFmtId="168" fontId="51" fillId="0" borderId="23" xfId="7" applyNumberFormat="1" applyFont="1" applyBorder="1" applyAlignment="1">
      <alignment horizontal="left" wrapText="1"/>
    </xf>
    <xf numFmtId="168" fontId="55" fillId="0" borderId="0" xfId="7" applyNumberFormat="1" applyFont="1" applyAlignment="1">
      <alignment horizontal="center"/>
    </xf>
    <xf numFmtId="168" fontId="38" fillId="0" borderId="0" xfId="7" applyNumberFormat="1" applyAlignment="1">
      <alignment horizontal="center" vertical="center"/>
    </xf>
    <xf numFmtId="168" fontId="51" fillId="0" borderId="0" xfId="7" applyNumberFormat="1" applyFont="1" applyAlignment="1">
      <alignment horizontal="left" vertical="center" wrapText="1"/>
    </xf>
    <xf numFmtId="168" fontId="58" fillId="0" borderId="0" xfId="7" applyNumberFormat="1" applyFont="1" applyAlignment="1" applyProtection="1">
      <alignment horizontal="left" wrapText="1"/>
      <protection hidden="1"/>
    </xf>
    <xf numFmtId="168" fontId="58" fillId="0" borderId="0" xfId="7" applyNumberFormat="1" applyFont="1" applyAlignment="1" applyProtection="1">
      <alignment horizontal="left"/>
      <protection hidden="1"/>
    </xf>
    <xf numFmtId="0" fontId="38" fillId="0" borderId="0" xfId="7" applyAlignment="1">
      <alignment vertical="center" wrapText="1"/>
    </xf>
    <xf numFmtId="168" fontId="51" fillId="0" borderId="0" xfId="7" applyNumberFormat="1" applyFont="1" applyAlignment="1" applyProtection="1">
      <alignment vertical="center" wrapText="1"/>
      <protection hidden="1"/>
    </xf>
    <xf numFmtId="168" fontId="38" fillId="0" borderId="0" xfId="7" applyNumberFormat="1" applyAlignment="1" applyProtection="1">
      <alignment horizontal="center"/>
      <protection hidden="1"/>
    </xf>
    <xf numFmtId="168" fontId="59" fillId="0" borderId="0" xfId="7" applyNumberFormat="1" applyFont="1" applyAlignment="1" applyProtection="1">
      <alignment horizontal="left"/>
      <protection hidden="1"/>
    </xf>
    <xf numFmtId="168" fontId="38" fillId="0" borderId="0" xfId="7" applyNumberFormat="1" applyAlignment="1" applyProtection="1">
      <alignment horizontal="center" vertical="center"/>
      <protection hidden="1"/>
    </xf>
    <xf numFmtId="168" fontId="60" fillId="7" borderId="0" xfId="7" applyNumberFormat="1" applyFont="1" applyFill="1" applyAlignment="1" applyProtection="1">
      <alignment horizontal="left" vertical="center" wrapText="1"/>
      <protection hidden="1"/>
    </xf>
    <xf numFmtId="168" fontId="49" fillId="0" borderId="0" xfId="7" applyNumberFormat="1" applyFont="1" applyAlignment="1" applyProtection="1">
      <alignment horizontal="center" vertical="center" wrapText="1"/>
      <protection hidden="1"/>
    </xf>
    <xf numFmtId="17" fontId="49" fillId="0" borderId="0" xfId="7" applyNumberFormat="1" applyFont="1" applyAlignment="1">
      <alignment horizontal="center" vertical="center"/>
    </xf>
    <xf numFmtId="168" fontId="49" fillId="23" borderId="0" xfId="7" applyNumberFormat="1" applyFont="1" applyFill="1" applyAlignment="1" applyProtection="1">
      <alignment horizontal="left" vertical="center" wrapText="1"/>
      <protection hidden="1"/>
    </xf>
    <xf numFmtId="3" fontId="49" fillId="23" borderId="0" xfId="7" applyNumberFormat="1" applyFont="1" applyFill="1" applyAlignment="1">
      <alignment horizontal="center" vertical="center" wrapText="1"/>
    </xf>
    <xf numFmtId="3" fontId="49" fillId="0" borderId="0" xfId="7" applyNumberFormat="1" applyFont="1" applyAlignment="1">
      <alignment horizontal="center" vertical="center" wrapText="1"/>
    </xf>
    <xf numFmtId="3" fontId="52" fillId="23" borderId="0" xfId="7" applyNumberFormat="1" applyFont="1" applyFill="1" applyAlignment="1">
      <alignment horizontal="center" vertical="center" wrapText="1"/>
    </xf>
    <xf numFmtId="3" fontId="59" fillId="23" borderId="0" xfId="7" applyNumberFormat="1" applyFont="1" applyFill="1" applyAlignment="1">
      <alignment horizontal="center" vertical="center" wrapText="1"/>
    </xf>
    <xf numFmtId="168" fontId="49" fillId="0" borderId="0" xfId="7" applyNumberFormat="1" applyFont="1" applyAlignment="1" applyProtection="1">
      <alignment horizontal="left" vertical="center" wrapText="1"/>
      <protection hidden="1"/>
    </xf>
    <xf numFmtId="3" fontId="52" fillId="0" borderId="0" xfId="7" applyNumberFormat="1" applyFont="1" applyAlignment="1">
      <alignment horizontal="center" vertical="center" wrapText="1"/>
    </xf>
    <xf numFmtId="3" fontId="59" fillId="0" borderId="0" xfId="7" applyNumberFormat="1" applyFont="1" applyAlignment="1">
      <alignment horizontal="center" vertical="center" wrapText="1"/>
    </xf>
    <xf numFmtId="3" fontId="52" fillId="0" borderId="0" xfId="7" applyNumberFormat="1" applyFont="1" applyAlignment="1">
      <alignment horizontal="center" wrapText="1"/>
    </xf>
    <xf numFmtId="3" fontId="52" fillId="0" borderId="0" xfId="7" applyNumberFormat="1" applyFont="1" applyAlignment="1">
      <alignment horizontal="left" vertical="top" wrapText="1"/>
    </xf>
    <xf numFmtId="3" fontId="52" fillId="0" borderId="0" xfId="7" applyNumberFormat="1" applyFont="1" applyAlignment="1">
      <alignment horizontal="left" vertical="center" wrapText="1"/>
    </xf>
    <xf numFmtId="168" fontId="51" fillId="0" borderId="0" xfId="7" applyNumberFormat="1" applyFont="1" applyAlignment="1">
      <alignment wrapText="1"/>
    </xf>
    <xf numFmtId="3" fontId="38" fillId="0" borderId="0" xfId="7" applyNumberFormat="1" applyAlignment="1"/>
    <xf numFmtId="9" fontId="51" fillId="0" borderId="0" xfId="9" applyFont="1" applyFill="1" applyBorder="1" applyAlignment="1">
      <alignment horizontal="center"/>
    </xf>
    <xf numFmtId="3" fontId="51" fillId="0" borderId="0" xfId="7" applyNumberFormat="1" applyFont="1" applyAlignment="1">
      <alignment horizontal="left" vertical="top" wrapText="1"/>
    </xf>
    <xf numFmtId="3" fontId="55" fillId="0" borderId="0" xfId="7" applyNumberFormat="1" applyFont="1" applyAlignment="1"/>
    <xf numFmtId="3" fontId="51" fillId="0" borderId="0" xfId="7" applyNumberFormat="1" applyFont="1" applyAlignment="1">
      <alignment horizontal="left" vertical="center"/>
    </xf>
    <xf numFmtId="3" fontId="51" fillId="0" borderId="0" xfId="7" applyNumberFormat="1" applyFont="1" applyAlignment="1">
      <alignment horizontal="left" vertical="top"/>
    </xf>
    <xf numFmtId="168" fontId="52" fillId="2" borderId="0" xfId="7" applyNumberFormat="1" applyFont="1" applyFill="1" applyAlignment="1" applyProtection="1">
      <alignment horizontal="left" wrapText="1"/>
      <protection hidden="1"/>
    </xf>
    <xf numFmtId="3" fontId="49" fillId="2" borderId="0" xfId="7" applyNumberFormat="1" applyFont="1" applyFill="1" applyAlignment="1"/>
    <xf numFmtId="3" fontId="49" fillId="0" borderId="0" xfId="7" applyNumberFormat="1" applyFont="1" applyAlignment="1"/>
    <xf numFmtId="9" fontId="52" fillId="2" borderId="0" xfId="9" applyFont="1" applyFill="1" applyBorder="1" applyAlignment="1">
      <alignment horizontal="center"/>
    </xf>
    <xf numFmtId="9" fontId="52" fillId="2" borderId="0" xfId="7" applyNumberFormat="1" applyFont="1" applyFill="1" applyAlignment="1">
      <alignment horizontal="center"/>
    </xf>
    <xf numFmtId="3" fontId="52" fillId="2" borderId="0" xfId="7" applyNumberFormat="1" applyFont="1" applyFill="1" applyAlignment="1">
      <alignment horizontal="left" vertical="top"/>
    </xf>
    <xf numFmtId="3" fontId="59" fillId="2" borderId="0" xfId="7" applyNumberFormat="1" applyFont="1" applyFill="1" applyAlignment="1"/>
    <xf numFmtId="3" fontId="52" fillId="2" borderId="0" xfId="7" applyNumberFormat="1" applyFont="1" applyFill="1" applyAlignment="1">
      <alignment horizontal="left" vertical="center"/>
    </xf>
    <xf numFmtId="168" fontId="49" fillId="0" borderId="0" xfId="7" applyNumberFormat="1" applyFont="1" applyAlignment="1">
      <alignment horizontal="center" vertical="center"/>
    </xf>
    <xf numFmtId="168" fontId="49" fillId="0" borderId="0" xfId="7" applyNumberFormat="1" applyFont="1" applyAlignment="1">
      <alignment horizontal="center"/>
    </xf>
    <xf numFmtId="3" fontId="51" fillId="0" borderId="0" xfId="7" applyNumberFormat="1" applyFont="1" applyAlignment="1">
      <alignment horizontal="center"/>
    </xf>
    <xf numFmtId="168" fontId="51" fillId="0" borderId="0" xfId="7" applyNumberFormat="1" applyFont="1" applyAlignment="1">
      <alignment horizontal="left" wrapText="1"/>
    </xf>
    <xf numFmtId="168" fontId="51" fillId="0" borderId="0" xfId="7" applyNumberFormat="1" applyFont="1" applyAlignment="1">
      <alignment horizontal="center"/>
    </xf>
    <xf numFmtId="168" fontId="51" fillId="0" borderId="0" xfId="7" applyNumberFormat="1" applyFont="1" applyAlignment="1" applyProtection="1">
      <alignment horizontal="left" wrapText="1"/>
      <protection hidden="1"/>
    </xf>
    <xf numFmtId="168" fontId="49" fillId="24" borderId="0" xfId="7" applyNumberFormat="1" applyFont="1" applyFill="1" applyAlignment="1" applyProtection="1">
      <alignment horizontal="left" wrapText="1"/>
      <protection hidden="1"/>
    </xf>
    <xf numFmtId="3" fontId="49" fillId="24" borderId="0" xfId="7" applyNumberFormat="1" applyFont="1" applyFill="1" applyAlignment="1"/>
    <xf numFmtId="9" fontId="52" fillId="24" borderId="0" xfId="9" applyFont="1" applyFill="1" applyBorder="1" applyAlignment="1">
      <alignment horizontal="center"/>
    </xf>
    <xf numFmtId="9" fontId="52" fillId="24" borderId="0" xfId="7" applyNumberFormat="1" applyFont="1" applyFill="1" applyAlignment="1">
      <alignment horizontal="center"/>
    </xf>
    <xf numFmtId="3" fontId="52" fillId="24" borderId="0" xfId="7" applyNumberFormat="1" applyFont="1" applyFill="1" applyAlignment="1">
      <alignment horizontal="left" vertical="top"/>
    </xf>
    <xf numFmtId="3" fontId="59" fillId="24" borderId="0" xfId="7" applyNumberFormat="1" applyFont="1" applyFill="1" applyAlignment="1"/>
    <xf numFmtId="168" fontId="49" fillId="0" borderId="0" xfId="7" applyNumberFormat="1" applyFont="1" applyAlignment="1" applyProtection="1">
      <alignment horizontal="left" wrapText="1"/>
      <protection hidden="1"/>
    </xf>
    <xf numFmtId="9" fontId="52" fillId="0" borderId="0" xfId="9" applyFont="1" applyFill="1" applyBorder="1" applyAlignment="1">
      <alignment horizontal="center"/>
    </xf>
    <xf numFmtId="9" fontId="52" fillId="0" borderId="0" xfId="7" applyNumberFormat="1" applyFont="1" applyAlignment="1">
      <alignment horizontal="center"/>
    </xf>
    <xf numFmtId="3" fontId="52" fillId="0" borderId="0" xfId="7" applyNumberFormat="1" applyFont="1" applyAlignment="1">
      <alignment horizontal="left" vertical="top"/>
    </xf>
    <xf numFmtId="3" fontId="59" fillId="0" borderId="0" xfId="7" applyNumberFormat="1" applyFont="1" applyAlignment="1"/>
    <xf numFmtId="2" fontId="52" fillId="0" borderId="0" xfId="7" applyNumberFormat="1" applyFont="1" applyAlignment="1" applyProtection="1">
      <alignment horizontal="center" vertical="center" wrapText="1"/>
      <protection hidden="1"/>
    </xf>
    <xf numFmtId="2" fontId="52" fillId="0" borderId="0" xfId="7" applyNumberFormat="1" applyFont="1" applyAlignment="1" applyProtection="1">
      <alignment horizontal="center" wrapText="1"/>
      <protection hidden="1"/>
    </xf>
    <xf numFmtId="2" fontId="52" fillId="0" borderId="0" xfId="7" applyNumberFormat="1" applyFont="1" applyAlignment="1" applyProtection="1">
      <alignment horizontal="left" vertical="top" wrapText="1"/>
      <protection hidden="1"/>
    </xf>
    <xf numFmtId="2" fontId="59" fillId="0" borderId="0" xfId="7" applyNumberFormat="1" applyFont="1" applyAlignment="1" applyProtection="1">
      <alignment horizontal="center" vertical="center" wrapText="1"/>
      <protection hidden="1"/>
    </xf>
    <xf numFmtId="3" fontId="52" fillId="0" borderId="0" xfId="7" applyNumberFormat="1" applyFont="1" applyAlignment="1" applyProtection="1">
      <alignment horizontal="center" vertical="center" wrapText="1"/>
      <protection hidden="1"/>
    </xf>
    <xf numFmtId="3" fontId="52" fillId="0" borderId="0" xfId="7" applyNumberFormat="1" applyFont="1" applyAlignment="1" applyProtection="1">
      <alignment horizontal="center" wrapText="1"/>
      <protection hidden="1"/>
    </xf>
    <xf numFmtId="3" fontId="52" fillId="0" borderId="0" xfId="7" applyNumberFormat="1" applyFont="1" applyAlignment="1" applyProtection="1">
      <alignment horizontal="left" vertical="top" wrapText="1"/>
      <protection hidden="1"/>
    </xf>
    <xf numFmtId="3" fontId="59" fillId="0" borderId="0" xfId="7" applyNumberFormat="1" applyFont="1" applyAlignment="1" applyProtection="1">
      <alignment horizontal="center" vertical="center" wrapText="1"/>
      <protection hidden="1"/>
    </xf>
    <xf numFmtId="3" fontId="52" fillId="24" borderId="0" xfId="7" applyNumberFormat="1" applyFont="1" applyFill="1" applyAlignment="1">
      <alignment horizontal="left" vertical="center"/>
    </xf>
    <xf numFmtId="3" fontId="52" fillId="0" borderId="0" xfId="7" applyNumberFormat="1" applyFont="1" applyAlignment="1">
      <alignment horizontal="left" vertical="center"/>
    </xf>
    <xf numFmtId="2" fontId="52" fillId="0" borderId="0" xfId="7" applyNumberFormat="1" applyFont="1" applyAlignment="1" applyProtection="1">
      <alignment horizontal="left" vertical="center" wrapText="1"/>
      <protection hidden="1"/>
    </xf>
    <xf numFmtId="3" fontId="52" fillId="0" borderId="0" xfId="7" applyNumberFormat="1" applyFont="1" applyAlignment="1" applyProtection="1">
      <alignment horizontal="left" vertical="center" wrapText="1"/>
      <protection hidden="1"/>
    </xf>
    <xf numFmtId="168" fontId="52" fillId="2" borderId="0" xfId="7" applyNumberFormat="1" applyFont="1" applyFill="1" applyAlignment="1">
      <alignment horizontal="left" wrapText="1"/>
    </xf>
    <xf numFmtId="3" fontId="49" fillId="2" borderId="0" xfId="10" applyNumberFormat="1" applyFont="1" applyFill="1" applyBorder="1" applyAlignment="1"/>
    <xf numFmtId="3" fontId="49" fillId="0" borderId="0" xfId="10" applyNumberFormat="1" applyFont="1" applyFill="1" applyBorder="1" applyAlignment="1"/>
    <xf numFmtId="3" fontId="52" fillId="2" borderId="0" xfId="10" applyNumberFormat="1" applyFont="1" applyFill="1" applyBorder="1" applyAlignment="1">
      <alignment horizontal="left" vertical="top"/>
    </xf>
    <xf numFmtId="3" fontId="59" fillId="2" borderId="0" xfId="10" applyNumberFormat="1" applyFont="1" applyFill="1" applyBorder="1" applyAlignment="1"/>
    <xf numFmtId="3" fontId="49" fillId="24" borderId="0" xfId="10" applyNumberFormat="1" applyFont="1" applyFill="1" applyBorder="1" applyAlignment="1"/>
    <xf numFmtId="3" fontId="52" fillId="24" borderId="0" xfId="10" applyNumberFormat="1" applyFont="1" applyFill="1" applyBorder="1" applyAlignment="1">
      <alignment horizontal="left" vertical="top"/>
    </xf>
    <xf numFmtId="3" fontId="59" fillId="24" borderId="0" xfId="10" applyNumberFormat="1" applyFont="1" applyFill="1" applyBorder="1" applyAlignment="1"/>
    <xf numFmtId="168" fontId="56" fillId="15" borderId="0" xfId="7" applyNumberFormat="1" applyFont="1" applyFill="1" applyAlignment="1" applyProtection="1">
      <alignment horizontal="left" wrapText="1"/>
      <protection hidden="1"/>
    </xf>
    <xf numFmtId="3" fontId="56" fillId="15" borderId="0" xfId="10" applyNumberFormat="1" applyFont="1" applyFill="1" applyBorder="1" applyAlignment="1"/>
    <xf numFmtId="3" fontId="56" fillId="0" borderId="0" xfId="10" applyNumberFormat="1" applyFont="1" applyFill="1" applyBorder="1" applyAlignment="1"/>
    <xf numFmtId="9" fontId="56" fillId="15" borderId="0" xfId="9" applyFont="1" applyFill="1" applyBorder="1" applyAlignment="1">
      <alignment horizontal="center"/>
    </xf>
    <xf numFmtId="9" fontId="56" fillId="15" borderId="0" xfId="7" applyNumberFormat="1" applyFont="1" applyFill="1" applyAlignment="1">
      <alignment horizontal="center"/>
    </xf>
    <xf numFmtId="3" fontId="56" fillId="15" borderId="0" xfId="10" applyNumberFormat="1" applyFont="1" applyFill="1" applyBorder="1" applyAlignment="1">
      <alignment horizontal="left" vertical="top"/>
    </xf>
    <xf numFmtId="168" fontId="60" fillId="0" borderId="0" xfId="7" applyNumberFormat="1" applyFont="1" applyAlignment="1" applyProtection="1">
      <alignment horizontal="left" vertical="center" wrapText="1"/>
      <protection hidden="1"/>
    </xf>
    <xf numFmtId="3" fontId="52" fillId="2" borderId="0" xfId="10" applyNumberFormat="1" applyFont="1" applyFill="1" applyBorder="1" applyAlignment="1">
      <alignment horizontal="left" vertical="center"/>
    </xf>
    <xf numFmtId="3" fontId="52" fillId="24" borderId="0" xfId="10" applyNumberFormat="1" applyFont="1" applyFill="1" applyBorder="1" applyAlignment="1">
      <alignment horizontal="left" vertical="center"/>
    </xf>
    <xf numFmtId="3" fontId="56" fillId="15" borderId="0" xfId="10" applyNumberFormat="1" applyFont="1" applyFill="1" applyBorder="1" applyAlignment="1">
      <alignment horizontal="left" vertical="center"/>
    </xf>
    <xf numFmtId="168" fontId="60" fillId="15" borderId="0" xfId="7" applyNumberFormat="1" applyFont="1" applyFill="1" applyAlignment="1" applyProtection="1">
      <alignment horizontal="left" wrapText="1"/>
      <protection hidden="1"/>
    </xf>
    <xf numFmtId="3" fontId="60" fillId="15" borderId="0" xfId="10" applyNumberFormat="1" applyFont="1" applyFill="1" applyBorder="1" applyAlignment="1"/>
    <xf numFmtId="3" fontId="60" fillId="0" borderId="0" xfId="10" applyNumberFormat="1" applyFont="1" applyFill="1" applyBorder="1" applyAlignment="1"/>
    <xf numFmtId="9" fontId="52" fillId="15" borderId="0" xfId="9" applyFont="1" applyFill="1" applyBorder="1" applyAlignment="1">
      <alignment horizontal="center"/>
    </xf>
    <xf numFmtId="9" fontId="51" fillId="15" borderId="0" xfId="7" applyNumberFormat="1" applyFont="1" applyFill="1" applyAlignment="1">
      <alignment horizontal="center"/>
    </xf>
    <xf numFmtId="3" fontId="52" fillId="15" borderId="0" xfId="10" applyNumberFormat="1" applyFont="1" applyFill="1" applyBorder="1" applyAlignment="1">
      <alignment horizontal="left" vertical="top"/>
    </xf>
    <xf numFmtId="3" fontId="59" fillId="15" borderId="0" xfId="10" applyNumberFormat="1" applyFont="1" applyFill="1" applyBorder="1" applyAlignment="1"/>
    <xf numFmtId="168" fontId="38" fillId="0" borderId="0" xfId="7" applyNumberFormat="1" applyAlignment="1">
      <alignment horizontal="center" wrapText="1"/>
    </xf>
    <xf numFmtId="168" fontId="60" fillId="0" borderId="0" xfId="7" applyNumberFormat="1" applyFont="1" applyAlignment="1"/>
    <xf numFmtId="9" fontId="60" fillId="0" borderId="0" xfId="7" applyNumberFormat="1" applyFont="1" applyAlignment="1">
      <alignment horizontal="center"/>
    </xf>
    <xf numFmtId="170" fontId="60" fillId="0" borderId="0" xfId="7" applyNumberFormat="1" applyFont="1" applyAlignment="1"/>
    <xf numFmtId="170" fontId="59" fillId="0" borderId="0" xfId="7" applyNumberFormat="1" applyFont="1" applyAlignment="1"/>
    <xf numFmtId="168" fontId="60" fillId="2" borderId="9" xfId="7" applyNumberFormat="1" applyFont="1" applyFill="1" applyBorder="1" applyAlignment="1">
      <alignment vertical="center"/>
    </xf>
    <xf numFmtId="168" fontId="38" fillId="0" borderId="16" xfId="7" applyNumberFormat="1" applyBorder="1" applyAlignment="1">
      <alignment horizontal="center"/>
    </xf>
    <xf numFmtId="170" fontId="55" fillId="6" borderId="10" xfId="7" applyNumberFormat="1" applyFont="1" applyFill="1" applyBorder="1" applyAlignment="1">
      <alignment vertical="top" wrapText="1"/>
    </xf>
    <xf numFmtId="170" fontId="55" fillId="6" borderId="11" xfId="7" applyNumberFormat="1" applyFont="1" applyFill="1" applyBorder="1" applyAlignment="1">
      <alignment horizontal="center" wrapText="1"/>
    </xf>
    <xf numFmtId="170" fontId="55" fillId="6" borderId="11" xfId="7" applyNumberFormat="1" applyFont="1" applyFill="1" applyBorder="1" applyAlignment="1">
      <alignment vertical="top" wrapText="1"/>
    </xf>
    <xf numFmtId="168" fontId="55" fillId="6" borderId="17" xfId="7" applyNumberFormat="1" applyFont="1" applyFill="1" applyBorder="1" applyAlignment="1">
      <alignment horizontal="center"/>
    </xf>
    <xf numFmtId="168" fontId="49" fillId="0" borderId="0" xfId="7" applyNumberFormat="1" applyFont="1" applyAlignment="1">
      <alignment horizontal="center" vertical="center" wrapText="1"/>
    </xf>
    <xf numFmtId="168" fontId="49" fillId="0" borderId="0" xfId="7" applyNumberFormat="1" applyFont="1" applyAlignment="1">
      <alignment horizontal="center" wrapText="1"/>
    </xf>
    <xf numFmtId="170" fontId="55" fillId="0" borderId="0" xfId="7" applyNumberFormat="1" applyFont="1" applyAlignment="1">
      <alignment vertical="top" wrapText="1"/>
    </xf>
    <xf numFmtId="170" fontId="55" fillId="6" borderId="13" xfId="7" applyNumberFormat="1" applyFont="1" applyFill="1" applyBorder="1" applyAlignment="1">
      <alignment vertical="top" wrapText="1"/>
    </xf>
    <xf numFmtId="170" fontId="55" fillId="6" borderId="0" xfId="7" applyNumberFormat="1" applyFont="1" applyFill="1" applyAlignment="1">
      <alignment horizontal="center" wrapText="1"/>
    </xf>
    <xf numFmtId="170" fontId="55" fillId="6" borderId="0" xfId="7" applyNumberFormat="1" applyFont="1" applyFill="1" applyAlignment="1">
      <alignment vertical="top" wrapText="1"/>
    </xf>
    <xf numFmtId="168" fontId="55" fillId="6" borderId="12" xfId="7" applyNumberFormat="1" applyFont="1" applyFill="1" applyBorder="1" applyAlignment="1">
      <alignment horizontal="center"/>
    </xf>
    <xf numFmtId="168" fontId="57" fillId="0" borderId="0" xfId="7" applyNumberFormat="1" applyFont="1" applyAlignment="1">
      <alignment horizontal="left" wrapText="1"/>
    </xf>
    <xf numFmtId="168" fontId="56" fillId="0" borderId="8" xfId="7" applyNumberFormat="1" applyFont="1" applyBorder="1" applyAlignment="1" applyProtection="1">
      <alignment vertical="center"/>
      <protection hidden="1"/>
    </xf>
    <xf numFmtId="168" fontId="56" fillId="0" borderId="16" xfId="7" applyNumberFormat="1" applyFont="1" applyBorder="1" applyAlignment="1" applyProtection="1">
      <alignment vertical="center"/>
      <protection hidden="1"/>
    </xf>
    <xf numFmtId="168" fontId="56" fillId="0" borderId="9" xfId="7" applyNumberFormat="1" applyFont="1" applyBorder="1" applyAlignment="1" applyProtection="1">
      <alignment horizontal="center" vertical="center" wrapText="1"/>
      <protection hidden="1"/>
    </xf>
    <xf numFmtId="168" fontId="56" fillId="0" borderId="8" xfId="7" applyNumberFormat="1" applyFont="1" applyBorder="1" applyAlignment="1" applyProtection="1">
      <alignment horizontal="left" vertical="center"/>
      <protection hidden="1"/>
    </xf>
    <xf numFmtId="168" fontId="56" fillId="0" borderId="16" xfId="7" applyNumberFormat="1" applyFont="1" applyBorder="1" applyAlignment="1" applyProtection="1">
      <alignment horizontal="left" vertical="center"/>
      <protection hidden="1"/>
    </xf>
    <xf numFmtId="168" fontId="56" fillId="0" borderId="16" xfId="7" applyNumberFormat="1" applyFont="1" applyBorder="1" applyAlignment="1" applyProtection="1">
      <alignment horizontal="left"/>
      <protection hidden="1"/>
    </xf>
    <xf numFmtId="3" fontId="52" fillId="15" borderId="0" xfId="10" applyNumberFormat="1" applyFont="1" applyFill="1" applyBorder="1" applyAlignment="1">
      <alignment horizontal="left" vertical="center"/>
    </xf>
    <xf numFmtId="168" fontId="56" fillId="0" borderId="9" xfId="7" applyNumberFormat="1" applyFont="1" applyBorder="1" applyAlignment="1">
      <alignment horizontal="center" vertical="center"/>
    </xf>
    <xf numFmtId="168" fontId="56" fillId="0" borderId="16" xfId="7" applyNumberFormat="1" applyFont="1" applyBorder="1" applyAlignment="1" applyProtection="1">
      <alignment vertical="center" wrapText="1"/>
      <protection hidden="1"/>
    </xf>
    <xf numFmtId="168" fontId="56" fillId="0" borderId="16" xfId="7" applyNumberFormat="1" applyFont="1" applyBorder="1" applyAlignment="1" applyProtection="1">
      <alignment horizontal="center" wrapText="1"/>
      <protection hidden="1"/>
    </xf>
    <xf numFmtId="170" fontId="55" fillId="6" borderId="19" xfId="7" applyNumberFormat="1" applyFont="1" applyFill="1" applyBorder="1" applyAlignment="1">
      <alignment vertical="top" wrapText="1"/>
    </xf>
    <xf numFmtId="170" fontId="55" fillId="6" borderId="18" xfId="7" applyNumberFormat="1" applyFont="1" applyFill="1" applyBorder="1" applyAlignment="1">
      <alignment horizontal="center" wrapText="1"/>
    </xf>
    <xf numFmtId="170" fontId="55" fillId="6" borderId="18" xfId="7" applyNumberFormat="1" applyFont="1" applyFill="1" applyBorder="1" applyAlignment="1">
      <alignment vertical="top" wrapText="1"/>
    </xf>
    <xf numFmtId="168" fontId="55" fillId="6" borderId="22" xfId="7" applyNumberFormat="1" applyFont="1" applyFill="1" applyBorder="1" applyAlignment="1">
      <alignment horizontal="center"/>
    </xf>
    <xf numFmtId="9" fontId="38" fillId="0" borderId="0" xfId="9" applyFont="1" applyBorder="1" applyAlignment="1">
      <alignment horizontal="center" vertical="center"/>
    </xf>
    <xf numFmtId="168" fontId="60" fillId="23" borderId="0" xfId="7" applyNumberFormat="1" applyFont="1" applyFill="1" applyAlignment="1" applyProtection="1">
      <alignment horizontal="left" vertical="center" wrapText="1"/>
      <protection hidden="1"/>
    </xf>
    <xf numFmtId="168" fontId="60" fillId="24" borderId="0" xfId="7" applyNumberFormat="1" applyFont="1" applyFill="1" applyAlignment="1" applyProtection="1">
      <alignment horizontal="left" wrapText="1"/>
      <protection hidden="1"/>
    </xf>
    <xf numFmtId="2" fontId="38" fillId="0" borderId="0" xfId="7" applyNumberFormat="1" applyAlignment="1">
      <alignment horizontal="center"/>
    </xf>
    <xf numFmtId="9" fontId="38" fillId="10" borderId="0" xfId="7" applyNumberFormat="1" applyFill="1" applyAlignment="1">
      <alignment horizontal="center"/>
    </xf>
    <xf numFmtId="3" fontId="49" fillId="10" borderId="0" xfId="7" applyNumberFormat="1" applyFont="1" applyFill="1" applyAlignment="1">
      <alignment horizontal="center" vertical="center" wrapText="1"/>
    </xf>
    <xf numFmtId="3" fontId="38" fillId="10" borderId="0" xfId="7" applyNumberFormat="1" applyFill="1" applyAlignment="1"/>
    <xf numFmtId="3" fontId="49" fillId="10" borderId="0" xfId="7" applyNumberFormat="1" applyFont="1" applyFill="1" applyAlignment="1"/>
    <xf numFmtId="3" fontId="51" fillId="10" borderId="0" xfId="7" applyNumberFormat="1" applyFont="1" applyFill="1" applyAlignment="1"/>
    <xf numFmtId="9" fontId="51" fillId="10" borderId="0" xfId="9" applyFont="1" applyFill="1" applyBorder="1" applyAlignment="1"/>
    <xf numFmtId="2" fontId="52" fillId="10" borderId="0" xfId="7" applyNumberFormat="1" applyFont="1" applyFill="1" applyAlignment="1" applyProtection="1">
      <alignment horizontal="center" vertical="center" wrapText="1"/>
      <protection hidden="1"/>
    </xf>
    <xf numFmtId="3" fontId="52" fillId="10" borderId="0" xfId="7" applyNumberFormat="1" applyFont="1" applyFill="1" applyAlignment="1" applyProtection="1">
      <alignment horizontal="center" vertical="center" wrapText="1"/>
      <protection hidden="1"/>
    </xf>
    <xf numFmtId="3" fontId="49" fillId="10" borderId="0" xfId="10" applyNumberFormat="1" applyFont="1" applyFill="1" applyBorder="1" applyAlignment="1"/>
    <xf numFmtId="3" fontId="56" fillId="10" borderId="0" xfId="10" applyNumberFormat="1" applyFont="1" applyFill="1" applyBorder="1" applyAlignment="1"/>
    <xf numFmtId="3" fontId="60" fillId="10" borderId="0" xfId="10" applyNumberFormat="1" applyFont="1" applyFill="1" applyBorder="1" applyAlignment="1"/>
    <xf numFmtId="9" fontId="60" fillId="10" borderId="0" xfId="7" applyNumberFormat="1" applyFont="1" applyFill="1" applyAlignment="1">
      <alignment horizontal="center"/>
    </xf>
    <xf numFmtId="3" fontId="49" fillId="10" borderId="8" xfId="7" applyNumberFormat="1" applyFont="1" applyFill="1" applyBorder="1" applyAlignment="1"/>
    <xf numFmtId="170" fontId="55" fillId="10" borderId="0" xfId="7" applyNumberFormat="1" applyFont="1" applyFill="1" applyAlignment="1">
      <alignment vertical="top" wrapText="1"/>
    </xf>
    <xf numFmtId="2" fontId="38" fillId="10" borderId="0" xfId="7" applyNumberFormat="1" applyFill="1" applyAlignment="1">
      <alignment horizontal="center"/>
    </xf>
    <xf numFmtId="0" fontId="38" fillId="0" borderId="0" xfId="11"/>
    <xf numFmtId="0" fontId="56" fillId="0" borderId="0" xfId="11" applyFont="1" applyAlignment="1" applyProtection="1">
      <alignment vertical="center"/>
      <protection hidden="1"/>
    </xf>
    <xf numFmtId="168" fontId="56" fillId="0" borderId="0" xfId="11" applyNumberFormat="1" applyFont="1" applyAlignment="1" applyProtection="1">
      <alignment horizontal="center" wrapText="1"/>
      <protection hidden="1"/>
    </xf>
    <xf numFmtId="168" fontId="56" fillId="0" borderId="0" xfId="11" applyNumberFormat="1" applyFont="1" applyAlignment="1" applyProtection="1">
      <alignment horizontal="center" vertical="center" wrapText="1"/>
      <protection hidden="1"/>
    </xf>
    <xf numFmtId="0" fontId="56" fillId="0" borderId="0" xfId="11" applyFont="1" applyAlignment="1" applyProtection="1">
      <alignment horizontal="center" vertical="center" wrapText="1"/>
      <protection hidden="1"/>
    </xf>
    <xf numFmtId="0" fontId="56" fillId="0" borderId="0" xfId="11" applyFont="1" applyAlignment="1">
      <alignment vertical="center"/>
    </xf>
    <xf numFmtId="0" fontId="56" fillId="0" borderId="0" xfId="11" applyFont="1" applyAlignment="1" applyProtection="1">
      <alignment horizontal="right" vertical="center"/>
      <protection hidden="1"/>
    </xf>
    <xf numFmtId="0" fontId="56" fillId="2" borderId="0" xfId="11" applyFont="1" applyFill="1" applyAlignment="1" applyProtection="1">
      <alignment horizontal="left" vertical="center"/>
      <protection hidden="1"/>
    </xf>
    <xf numFmtId="0" fontId="56" fillId="2" borderId="0" xfId="11" applyFont="1" applyFill="1" applyAlignment="1" applyProtection="1">
      <alignment horizontal="center" vertical="center"/>
      <protection hidden="1"/>
    </xf>
    <xf numFmtId="168" fontId="57" fillId="0" borderId="0" xfId="11" applyNumberFormat="1" applyFont="1" applyAlignment="1" applyProtection="1">
      <alignment horizontal="center"/>
      <protection hidden="1"/>
    </xf>
    <xf numFmtId="0" fontId="55" fillId="0" borderId="0" xfId="11" applyFont="1"/>
    <xf numFmtId="168" fontId="57" fillId="0" borderId="0" xfId="11" applyNumberFormat="1" applyFont="1" applyAlignment="1" applyProtection="1">
      <alignment horizontal="center" vertical="center"/>
      <protection hidden="1"/>
    </xf>
    <xf numFmtId="0" fontId="38" fillId="0" borderId="0" xfId="11" applyAlignment="1">
      <alignment vertical="center"/>
    </xf>
    <xf numFmtId="0" fontId="61" fillId="0" borderId="0" xfId="11" applyFont="1"/>
    <xf numFmtId="0" fontId="38" fillId="0" borderId="11" xfId="11" applyBorder="1"/>
    <xf numFmtId="0" fontId="38" fillId="0" borderId="18" xfId="11" applyBorder="1"/>
    <xf numFmtId="0" fontId="56" fillId="10" borderId="0" xfId="11" applyFont="1" applyFill="1" applyAlignment="1" applyProtection="1">
      <alignment vertical="center"/>
      <protection hidden="1"/>
    </xf>
    <xf numFmtId="0" fontId="44" fillId="21" borderId="1" xfId="0" applyFont="1" applyFill="1" applyBorder="1"/>
    <xf numFmtId="0" fontId="44" fillId="21" borderId="2" xfId="0" applyFont="1" applyFill="1" applyBorder="1"/>
    <xf numFmtId="0" fontId="44" fillId="21" borderId="4" xfId="0" applyFont="1" applyFill="1" applyBorder="1"/>
    <xf numFmtId="0" fontId="44" fillId="21" borderId="3" xfId="0" applyFont="1" applyFill="1" applyBorder="1"/>
    <xf numFmtId="0" fontId="44" fillId="21" borderId="5" xfId="0" applyFont="1" applyFill="1" applyBorder="1"/>
    <xf numFmtId="0" fontId="44" fillId="21" borderId="6" xfId="0" applyFont="1" applyFill="1" applyBorder="1"/>
    <xf numFmtId="0" fontId="44" fillId="21" borderId="7" xfId="0" applyFont="1" applyFill="1" applyBorder="1"/>
    <xf numFmtId="0" fontId="44" fillId="21" borderId="21" xfId="0" applyFont="1" applyFill="1" applyBorder="1"/>
    <xf numFmtId="0" fontId="44" fillId="21" borderId="0" xfId="0" applyFont="1" applyFill="1" applyProtection="1">
      <protection locked="0"/>
    </xf>
    <xf numFmtId="174" fontId="8" fillId="0" borderId="15" xfId="2" applyNumberFormat="1" applyFont="1" applyBorder="1"/>
    <xf numFmtId="174" fontId="6" fillId="4" borderId="9" xfId="1" applyNumberFormat="1" applyFont="1" applyFill="1" applyBorder="1"/>
    <xf numFmtId="174" fontId="8" fillId="0" borderId="15" xfId="1" applyNumberFormat="1" applyFont="1" applyBorder="1"/>
    <xf numFmtId="174" fontId="6" fillId="0" borderId="0" xfId="1" applyNumberFormat="1" applyFont="1"/>
    <xf numFmtId="174" fontId="6" fillId="0" borderId="11" xfId="1" applyNumberFormat="1" applyFont="1" applyBorder="1"/>
    <xf numFmtId="174" fontId="6" fillId="0" borderId="18" xfId="1" applyNumberFormat="1" applyFont="1" applyBorder="1"/>
    <xf numFmtId="174" fontId="8" fillId="0" borderId="0" xfId="0" applyNumberFormat="1" applyFont="1"/>
    <xf numFmtId="174" fontId="6" fillId="0" borderId="15" xfId="1" applyNumberFormat="1" applyFont="1" applyBorder="1"/>
    <xf numFmtId="0" fontId="44" fillId="21" borderId="0" xfId="0" applyFont="1" applyFill="1" applyAlignment="1">
      <alignment horizontal="left"/>
    </xf>
    <xf numFmtId="174" fontId="8" fillId="0" borderId="20" xfId="0" applyNumberFormat="1" applyFont="1" applyBorder="1"/>
    <xf numFmtId="165" fontId="8" fillId="0" borderId="15" xfId="1" applyNumberFormat="1" applyFont="1" applyBorder="1" applyProtection="1"/>
    <xf numFmtId="9" fontId="8" fillId="0" borderId="15" xfId="2" applyFont="1" applyBorder="1" applyProtection="1"/>
    <xf numFmtId="174" fontId="8" fillId="0" borderId="15" xfId="2" applyNumberFormat="1" applyFont="1" applyBorder="1" applyProtection="1"/>
    <xf numFmtId="0" fontId="0" fillId="0" borderId="23" xfId="0" applyBorder="1"/>
    <xf numFmtId="0" fontId="2" fillId="0" borderId="0" xfId="0" applyFont="1" applyAlignment="1">
      <alignment horizontal="right" vertical="center"/>
    </xf>
    <xf numFmtId="0" fontId="62" fillId="0" borderId="0" xfId="12" applyAlignment="1">
      <alignment horizontal="left" vertical="center" wrapText="1"/>
    </xf>
    <xf numFmtId="0" fontId="0" fillId="0" borderId="0" xfId="0" applyAlignment="1">
      <alignment horizontal="left" vertical="center" wrapText="1"/>
    </xf>
    <xf numFmtId="0" fontId="63" fillId="0" borderId="9" xfId="0" applyFont="1" applyBorder="1" applyAlignment="1" applyProtection="1">
      <alignment horizontal="centerContinuous" vertical="top" wrapText="1"/>
      <protection locked="0"/>
    </xf>
    <xf numFmtId="2" fontId="63" fillId="0" borderId="9" xfId="0" applyNumberFormat="1" applyFont="1" applyBorder="1" applyAlignment="1">
      <alignment horizontal="centerContinuous"/>
    </xf>
    <xf numFmtId="2" fontId="43" fillId="0" borderId="9" xfId="0" applyNumberFormat="1" applyFont="1" applyBorder="1" applyAlignment="1">
      <alignment horizontal="centerContinuous"/>
    </xf>
    <xf numFmtId="17" fontId="63" fillId="0" borderId="9" xfId="0" applyNumberFormat="1" applyFont="1" applyBorder="1" applyAlignment="1" applyProtection="1">
      <alignment vertical="top" wrapText="1"/>
      <protection locked="0"/>
    </xf>
    <xf numFmtId="0" fontId="2" fillId="0" borderId="26" xfId="0" applyFont="1" applyBorder="1" applyAlignment="1" applyProtection="1">
      <alignment horizontal="center" vertical="top" wrapText="1"/>
      <protection locked="0"/>
    </xf>
    <xf numFmtId="0" fontId="2" fillId="0" borderId="55" xfId="0" applyFont="1" applyBorder="1" applyAlignment="1" applyProtection="1">
      <alignment horizontal="center" vertical="top" wrapText="1"/>
      <protection locked="0"/>
    </xf>
    <xf numFmtId="0" fontId="2" fillId="0" borderId="27" xfId="0" applyFont="1" applyBorder="1" applyAlignment="1" applyProtection="1">
      <alignment horizontal="center" vertical="top" wrapText="1"/>
      <protection locked="0"/>
    </xf>
    <xf numFmtId="0" fontId="63" fillId="0" borderId="9" xfId="0" applyFont="1" applyBorder="1" applyAlignment="1" applyProtection="1">
      <alignment horizontal="center" vertical="top" wrapText="1"/>
      <protection locked="0"/>
    </xf>
    <xf numFmtId="17" fontId="63" fillId="0" borderId="9" xfId="0" applyNumberFormat="1" applyFont="1" applyBorder="1" applyAlignment="1" applyProtection="1">
      <alignment horizontal="center" vertical="top" wrapText="1"/>
      <protection locked="0"/>
    </xf>
    <xf numFmtId="0" fontId="0" fillId="0" borderId="28" xfId="0" applyBorder="1" applyAlignment="1">
      <alignment vertical="center" wrapText="1"/>
    </xf>
    <xf numFmtId="0" fontId="0" fillId="0" borderId="9" xfId="0" applyBorder="1" applyAlignment="1">
      <alignment vertical="center" wrapText="1"/>
    </xf>
    <xf numFmtId="43" fontId="0" fillId="0" borderId="9" xfId="0" applyNumberFormat="1" applyBorder="1" applyAlignment="1">
      <alignment vertical="center" wrapText="1"/>
    </xf>
    <xf numFmtId="43" fontId="0" fillId="0" borderId="29" xfId="0" applyNumberFormat="1" applyBorder="1" applyAlignment="1">
      <alignment vertical="center" wrapText="1"/>
    </xf>
    <xf numFmtId="175" fontId="0" fillId="0" borderId="9" xfId="1" applyNumberFormat="1" applyFont="1" applyBorder="1"/>
    <xf numFmtId="175" fontId="0" fillId="12" borderId="9" xfId="1" applyNumberFormat="1" applyFont="1" applyFill="1" applyBorder="1"/>
    <xf numFmtId="0" fontId="0" fillId="19" borderId="30" xfId="0" applyFill="1" applyBorder="1"/>
    <xf numFmtId="0" fontId="0" fillId="19" borderId="56" xfId="0" applyFill="1" applyBorder="1"/>
    <xf numFmtId="0" fontId="2" fillId="19" borderId="56" xfId="0" applyFont="1" applyFill="1" applyBorder="1"/>
    <xf numFmtId="43" fontId="0" fillId="19" borderId="56" xfId="0" applyNumberFormat="1" applyFill="1" applyBorder="1" applyAlignment="1">
      <alignment vertical="center" wrapText="1"/>
    </xf>
    <xf numFmtId="43" fontId="0" fillId="19" borderId="56" xfId="0" applyNumberFormat="1" applyFill="1" applyBorder="1"/>
    <xf numFmtId="43" fontId="0" fillId="19" borderId="31" xfId="0" applyNumberFormat="1" applyFill="1" applyBorder="1"/>
    <xf numFmtId="175" fontId="0" fillId="0" borderId="0" xfId="1" applyNumberFormat="1" applyFont="1" applyBorder="1"/>
    <xf numFmtId="0" fontId="64" fillId="0" borderId="0" xfId="0" applyFont="1"/>
    <xf numFmtId="165" fontId="8" fillId="3" borderId="9" xfId="1" applyNumberFormat="1" applyFont="1" applyFill="1" applyBorder="1" applyProtection="1"/>
    <xf numFmtId="0" fontId="35" fillId="3" borderId="62" xfId="0" applyFont="1" applyFill="1" applyBorder="1" applyAlignment="1" applyProtection="1">
      <alignment horizontal="left"/>
      <protection locked="0"/>
    </xf>
    <xf numFmtId="14" fontId="35" fillId="3" borderId="2" xfId="0" applyNumberFormat="1" applyFont="1" applyFill="1" applyBorder="1" applyAlignment="1" applyProtection="1">
      <alignment horizontal="left"/>
      <protection locked="0"/>
    </xf>
    <xf numFmtId="0" fontId="35" fillId="3" borderId="29" xfId="0" applyFont="1" applyFill="1" applyBorder="1" applyAlignment="1" applyProtection="1">
      <alignment horizontal="center" vertical="center"/>
      <protection locked="0"/>
    </xf>
    <xf numFmtId="0" fontId="35" fillId="3" borderId="29" xfId="0" quotePrefix="1" applyFont="1" applyFill="1" applyBorder="1" applyAlignment="1" applyProtection="1">
      <alignment horizontal="center" vertical="center"/>
      <protection locked="0"/>
    </xf>
    <xf numFmtId="0" fontId="36" fillId="3" borderId="29" xfId="0" applyFont="1" applyFill="1" applyBorder="1" applyAlignment="1" applyProtection="1">
      <alignment horizontal="center" vertical="center"/>
      <protection locked="0"/>
    </xf>
    <xf numFmtId="0" fontId="35" fillId="3" borderId="31" xfId="0" applyFont="1" applyFill="1" applyBorder="1" applyAlignment="1" applyProtection="1">
      <alignment horizontal="center" vertical="center"/>
      <protection locked="0"/>
    </xf>
    <xf numFmtId="0" fontId="35" fillId="7" borderId="1" xfId="0" applyFont="1" applyFill="1" applyBorder="1"/>
    <xf numFmtId="0" fontId="35" fillId="7" borderId="2" xfId="0" applyFont="1" applyFill="1" applyBorder="1" applyAlignment="1">
      <alignment horizontal="left"/>
    </xf>
    <xf numFmtId="0" fontId="35" fillId="7" borderId="4" xfId="0" applyFont="1" applyFill="1" applyBorder="1" applyAlignment="1">
      <alignment horizontal="justify"/>
    </xf>
    <xf numFmtId="0" fontId="35" fillId="7" borderId="3" xfId="0" applyFont="1" applyFill="1" applyBorder="1"/>
    <xf numFmtId="0" fontId="35" fillId="7" borderId="0" xfId="0" applyFont="1" applyFill="1" applyAlignment="1">
      <alignment horizontal="left"/>
    </xf>
    <xf numFmtId="0" fontId="35" fillId="7" borderId="5" xfId="0" applyFont="1" applyFill="1" applyBorder="1" applyAlignment="1">
      <alignment horizontal="justify"/>
    </xf>
    <xf numFmtId="0" fontId="35" fillId="7" borderId="0" xfId="0" applyFont="1" applyFill="1" applyAlignment="1">
      <alignment horizontal="right"/>
    </xf>
    <xf numFmtId="0" fontId="0" fillId="7" borderId="5" xfId="0" applyFill="1" applyBorder="1"/>
    <xf numFmtId="0" fontId="0" fillId="7" borderId="6" xfId="0" applyFill="1" applyBorder="1"/>
    <xf numFmtId="0" fontId="35" fillId="7" borderId="7" xfId="0" applyFont="1" applyFill="1" applyBorder="1" applyAlignment="1">
      <alignment horizontal="right"/>
    </xf>
    <xf numFmtId="0" fontId="35" fillId="7" borderId="21" xfId="0" applyFont="1" applyFill="1" applyBorder="1" applyAlignment="1">
      <alignment horizontal="justify"/>
    </xf>
    <xf numFmtId="0" fontId="35" fillId="0" borderId="0" xfId="0" applyFont="1" applyAlignment="1">
      <alignment horizontal="justify"/>
    </xf>
    <xf numFmtId="0" fontId="0" fillId="4" borderId="1" xfId="0" applyFill="1" applyBorder="1"/>
    <xf numFmtId="0" fontId="33" fillId="4" borderId="27" xfId="0" applyFont="1" applyFill="1" applyBorder="1" applyAlignment="1">
      <alignment horizontal="center" vertical="top"/>
    </xf>
    <xf numFmtId="0" fontId="0" fillId="7" borderId="57" xfId="0" applyFill="1" applyBorder="1" applyAlignment="1">
      <alignment horizontal="center" vertical="center"/>
    </xf>
    <xf numFmtId="0" fontId="0" fillId="7" borderId="3" xfId="0" applyFill="1" applyBorder="1" applyAlignment="1">
      <alignment horizontal="right" vertical="center"/>
    </xf>
    <xf numFmtId="0" fontId="35" fillId="7" borderId="29" xfId="0" quotePrefix="1" applyFont="1" applyFill="1" applyBorder="1" applyAlignment="1">
      <alignment horizontal="justify" vertical="center"/>
    </xf>
    <xf numFmtId="0" fontId="0" fillId="4" borderId="58" xfId="0" applyFill="1" applyBorder="1" applyAlignment="1">
      <alignment vertical="center"/>
    </xf>
    <xf numFmtId="0" fontId="35" fillId="4" borderId="29" xfId="0" applyFont="1" applyFill="1" applyBorder="1" applyAlignment="1">
      <alignment horizontal="justify" vertical="center"/>
    </xf>
    <xf numFmtId="0" fontId="0" fillId="7" borderId="3" xfId="0" applyFill="1" applyBorder="1" applyAlignment="1">
      <alignment horizontal="center" vertical="center"/>
    </xf>
    <xf numFmtId="0" fontId="0" fillId="4" borderId="58" xfId="0" applyFill="1" applyBorder="1" applyAlignment="1">
      <alignment horizontal="center" vertical="center"/>
    </xf>
    <xf numFmtId="0" fontId="35" fillId="7" borderId="29" xfId="0" applyFont="1" applyFill="1" applyBorder="1" applyAlignment="1">
      <alignment horizontal="justify" vertical="center"/>
    </xf>
    <xf numFmtId="0" fontId="0" fillId="7" borderId="59" xfId="0" applyFill="1" applyBorder="1" applyAlignment="1">
      <alignment horizontal="center" vertical="center"/>
    </xf>
    <xf numFmtId="0" fontId="35" fillId="7" borderId="62" xfId="0" applyFont="1" applyFill="1" applyBorder="1" applyAlignment="1">
      <alignment horizontal="left"/>
    </xf>
    <xf numFmtId="0" fontId="67" fillId="21" borderId="1" xfId="0" applyFont="1" applyFill="1" applyBorder="1"/>
    <xf numFmtId="0" fontId="66" fillId="21" borderId="2" xfId="0" applyFont="1" applyFill="1" applyBorder="1"/>
    <xf numFmtId="0" fontId="65" fillId="21" borderId="2" xfId="0" applyFont="1" applyFill="1" applyBorder="1"/>
    <xf numFmtId="0" fontId="65" fillId="21" borderId="4" xfId="0" applyFont="1" applyFill="1" applyBorder="1"/>
    <xf numFmtId="0" fontId="67" fillId="21" borderId="3" xfId="0" applyFont="1" applyFill="1" applyBorder="1"/>
    <xf numFmtId="0" fontId="66" fillId="21" borderId="0" xfId="0" applyFont="1" applyFill="1"/>
    <xf numFmtId="0" fontId="65" fillId="21" borderId="0" xfId="0" applyFont="1" applyFill="1"/>
    <xf numFmtId="0" fontId="65" fillId="21" borderId="5" xfId="0" applyFont="1" applyFill="1" applyBorder="1"/>
    <xf numFmtId="175" fontId="0" fillId="0" borderId="0" xfId="0" applyNumberFormat="1"/>
    <xf numFmtId="0" fontId="33" fillId="4" borderId="55" xfId="0" applyFont="1" applyFill="1" applyBorder="1" applyAlignment="1">
      <alignment horizontal="center" vertical="top"/>
    </xf>
    <xf numFmtId="0" fontId="0" fillId="4" borderId="8" xfId="0" applyFill="1" applyBorder="1" applyAlignment="1">
      <alignment horizontal="left" wrapText="1"/>
    </xf>
    <xf numFmtId="0" fontId="0" fillId="4" borderId="14" xfId="0" applyFill="1" applyBorder="1" applyAlignment="1">
      <alignment horizontal="left" wrapText="1"/>
    </xf>
    <xf numFmtId="0" fontId="36" fillId="7" borderId="8" xfId="0" applyFont="1" applyFill="1" applyBorder="1" applyAlignment="1">
      <alignment horizontal="left" vertical="center" wrapText="1"/>
    </xf>
    <xf numFmtId="0" fontId="36" fillId="7" borderId="14" xfId="0" applyFont="1" applyFill="1" applyBorder="1" applyAlignment="1">
      <alignment horizontal="left" vertical="center" wrapText="1"/>
    </xf>
    <xf numFmtId="0" fontId="35" fillId="7" borderId="9" xfId="0" quotePrefix="1" applyFont="1" applyFill="1" applyBorder="1" applyAlignment="1">
      <alignment horizontal="left" vertical="center" wrapText="1"/>
    </xf>
    <xf numFmtId="0" fontId="35" fillId="7" borderId="9" xfId="0" applyFont="1" applyFill="1" applyBorder="1" applyAlignment="1">
      <alignment horizontal="left" vertical="center" wrapText="1"/>
    </xf>
    <xf numFmtId="0" fontId="35" fillId="7" borderId="8" xfId="0" quotePrefix="1" applyFont="1" applyFill="1" applyBorder="1" applyAlignment="1">
      <alignment horizontal="left" vertical="center" wrapText="1"/>
    </xf>
    <xf numFmtId="0" fontId="35" fillId="7" borderId="14" xfId="0" quotePrefix="1" applyFont="1" applyFill="1" applyBorder="1" applyAlignment="1">
      <alignment horizontal="left" vertical="center" wrapText="1"/>
    </xf>
    <xf numFmtId="0" fontId="0" fillId="0" borderId="8" xfId="0" applyBorder="1" applyAlignment="1">
      <alignment horizontal="left" wrapText="1"/>
    </xf>
    <xf numFmtId="0" fontId="0" fillId="0" borderId="14" xfId="0" applyBorder="1" applyAlignment="1">
      <alignment horizontal="left" wrapText="1"/>
    </xf>
    <xf numFmtId="0" fontId="35" fillId="7" borderId="8" xfId="0" applyFont="1" applyFill="1" applyBorder="1" applyAlignment="1">
      <alignment horizontal="left" vertical="center" wrapText="1"/>
    </xf>
    <xf numFmtId="0" fontId="35" fillId="7" borderId="14" xfId="0" applyFont="1" applyFill="1" applyBorder="1" applyAlignment="1">
      <alignment horizontal="left" vertical="center" wrapText="1"/>
    </xf>
    <xf numFmtId="0" fontId="35" fillId="7" borderId="60" xfId="0" applyFont="1" applyFill="1" applyBorder="1" applyAlignment="1">
      <alignment horizontal="left" vertical="center" wrapText="1"/>
    </xf>
    <xf numFmtId="0" fontId="35" fillId="7" borderId="61" xfId="0" applyFont="1" applyFill="1" applyBorder="1" applyAlignment="1">
      <alignment horizontal="left" vertical="center" wrapText="1"/>
    </xf>
    <xf numFmtId="0" fontId="12" fillId="0" borderId="18" xfId="0" applyFont="1" applyBorder="1" applyAlignment="1" applyProtection="1">
      <alignment horizontal="center"/>
      <protection locked="0"/>
    </xf>
    <xf numFmtId="14" fontId="12" fillId="0" borderId="18" xfId="0" applyNumberFormat="1" applyFont="1" applyBorder="1" applyAlignment="1" applyProtection="1">
      <alignment horizontal="center"/>
      <protection locked="0"/>
    </xf>
    <xf numFmtId="4" fontId="6" fillId="3" borderId="9" xfId="1" applyNumberFormat="1" applyFont="1" applyFill="1" applyBorder="1" applyAlignment="1" applyProtection="1">
      <alignment horizontal="center" wrapText="1"/>
      <protection locked="0"/>
    </xf>
    <xf numFmtId="0" fontId="6" fillId="0" borderId="0" xfId="0" applyFont="1" applyAlignment="1" applyProtection="1">
      <alignment horizontal="left" wrapText="1"/>
      <protection locked="0"/>
    </xf>
    <xf numFmtId="0" fontId="12" fillId="0" borderId="18" xfId="0" applyFont="1" applyBorder="1" applyAlignment="1" applyProtection="1">
      <alignment horizontal="right"/>
      <protection locked="0"/>
    </xf>
    <xf numFmtId="0" fontId="6" fillId="4" borderId="8" xfId="0" applyFont="1" applyFill="1" applyBorder="1"/>
    <xf numFmtId="0" fontId="6" fillId="4" borderId="14" xfId="0" applyFont="1" applyFill="1" applyBorder="1"/>
    <xf numFmtId="0" fontId="7" fillId="0" borderId="0" xfId="0" applyFont="1" applyAlignment="1">
      <alignment horizontal="center"/>
    </xf>
    <xf numFmtId="0" fontId="0" fillId="0" borderId="0" xfId="0" applyAlignment="1">
      <alignment horizontal="center"/>
    </xf>
    <xf numFmtId="0" fontId="6" fillId="4" borderId="19" xfId="0" applyFont="1" applyFill="1" applyBorder="1"/>
    <xf numFmtId="168" fontId="29" fillId="15" borderId="8" xfId="0" applyNumberFormat="1" applyFont="1" applyFill="1" applyBorder="1" applyAlignment="1">
      <alignment horizontal="center" vertical="center" wrapText="1"/>
    </xf>
    <xf numFmtId="168" fontId="29" fillId="15" borderId="16" xfId="0" applyNumberFormat="1" applyFont="1" applyFill="1" applyBorder="1" applyAlignment="1">
      <alignment horizontal="center" vertical="center" wrapText="1"/>
    </xf>
    <xf numFmtId="168" fontId="29" fillId="15" borderId="14" xfId="0" applyNumberFormat="1" applyFont="1" applyFill="1" applyBorder="1" applyAlignment="1">
      <alignment horizontal="center" vertical="center" wrapText="1"/>
    </xf>
    <xf numFmtId="168" fontId="29" fillId="10" borderId="9" xfId="0" applyNumberFormat="1" applyFont="1" applyFill="1" applyBorder="1" applyAlignment="1">
      <alignment horizontal="center" vertical="center" wrapText="1"/>
    </xf>
    <xf numFmtId="0" fontId="30" fillId="16" borderId="9" xfId="0" applyFont="1" applyFill="1" applyBorder="1" applyAlignment="1">
      <alignment horizontal="center"/>
    </xf>
    <xf numFmtId="0" fontId="30" fillId="3" borderId="9" xfId="0" applyFont="1" applyFill="1" applyBorder="1" applyAlignment="1">
      <alignment horizontal="center"/>
    </xf>
    <xf numFmtId="0" fontId="29" fillId="10" borderId="8" xfId="0" applyFont="1" applyFill="1" applyBorder="1" applyAlignment="1">
      <alignment horizontal="center" vertical="center" wrapText="1"/>
    </xf>
    <xf numFmtId="0" fontId="29" fillId="10" borderId="16" xfId="0" applyFont="1" applyFill="1" applyBorder="1" applyAlignment="1">
      <alignment horizontal="center" vertical="center" wrapText="1"/>
    </xf>
    <xf numFmtId="0" fontId="29" fillId="10" borderId="14" xfId="0" applyFont="1" applyFill="1" applyBorder="1" applyAlignment="1">
      <alignment horizontal="center" vertical="center" wrapText="1"/>
    </xf>
    <xf numFmtId="168" fontId="29" fillId="9" borderId="8" xfId="0" applyNumberFormat="1" applyFont="1" applyFill="1" applyBorder="1" applyAlignment="1">
      <alignment horizontal="center" vertical="center" wrapText="1"/>
    </xf>
    <xf numFmtId="168" fontId="29" fillId="9" borderId="16" xfId="0" applyNumberFormat="1" applyFont="1" applyFill="1" applyBorder="1" applyAlignment="1">
      <alignment horizontal="center" vertical="center" wrapText="1"/>
    </xf>
    <xf numFmtId="168" fontId="29" fillId="9" borderId="14" xfId="0" applyNumberFormat="1" applyFont="1" applyFill="1" applyBorder="1" applyAlignment="1">
      <alignment horizontal="center" vertical="center" wrapText="1"/>
    </xf>
    <xf numFmtId="168" fontId="29" fillId="12" borderId="8" xfId="0" applyNumberFormat="1" applyFont="1" applyFill="1" applyBorder="1" applyAlignment="1">
      <alignment horizontal="center" vertical="center" wrapText="1"/>
    </xf>
    <xf numFmtId="168" fontId="29" fillId="12" borderId="16" xfId="0" applyNumberFormat="1" applyFont="1" applyFill="1" applyBorder="1" applyAlignment="1">
      <alignment horizontal="center" vertical="center" wrapText="1"/>
    </xf>
    <xf numFmtId="168" fontId="29" fillId="12" borderId="14" xfId="0" applyNumberFormat="1" applyFont="1" applyFill="1" applyBorder="1" applyAlignment="1">
      <alignment horizontal="center" vertical="center" wrapText="1"/>
    </xf>
    <xf numFmtId="168" fontId="29" fillId="2" borderId="8" xfId="0" applyNumberFormat="1" applyFont="1" applyFill="1" applyBorder="1" applyAlignment="1">
      <alignment horizontal="center" vertical="center" wrapText="1"/>
    </xf>
    <xf numFmtId="168" fontId="29" fillId="2" borderId="16" xfId="0" applyNumberFormat="1" applyFont="1" applyFill="1" applyBorder="1" applyAlignment="1">
      <alignment horizontal="center" vertical="center" wrapText="1"/>
    </xf>
    <xf numFmtId="168" fontId="29" fillId="2" borderId="14" xfId="0" applyNumberFormat="1" applyFont="1" applyFill="1" applyBorder="1" applyAlignment="1">
      <alignment horizontal="center" vertical="center" wrapText="1"/>
    </xf>
    <xf numFmtId="168" fontId="29" fillId="13" borderId="9" xfId="0" applyNumberFormat="1" applyFont="1" applyFill="1" applyBorder="1" applyAlignment="1">
      <alignment horizontal="center" vertical="center" wrapText="1"/>
    </xf>
    <xf numFmtId="168" fontId="29" fillId="14" borderId="8" xfId="0" applyNumberFormat="1" applyFont="1" applyFill="1" applyBorder="1" applyAlignment="1">
      <alignment horizontal="center" vertical="center" wrapText="1"/>
    </xf>
    <xf numFmtId="168" fontId="29" fillId="14" borderId="16" xfId="0" applyNumberFormat="1" applyFont="1" applyFill="1" applyBorder="1" applyAlignment="1">
      <alignment horizontal="center" vertical="center" wrapText="1"/>
    </xf>
    <xf numFmtId="168" fontId="29" fillId="14" borderId="14" xfId="0" applyNumberFormat="1" applyFont="1" applyFill="1" applyBorder="1" applyAlignment="1">
      <alignment horizontal="center" vertical="center" wrapText="1"/>
    </xf>
    <xf numFmtId="0" fontId="26" fillId="0" borderId="0" xfId="0" applyFont="1" applyAlignment="1">
      <alignment horizontal="left"/>
    </xf>
    <xf numFmtId="172" fontId="43" fillId="0" borderId="9" xfId="0" applyNumberFormat="1" applyFont="1" applyBorder="1" applyAlignment="1">
      <alignment horizontal="center"/>
    </xf>
    <xf numFmtId="168" fontId="49" fillId="7" borderId="0" xfId="7" applyNumberFormat="1" applyFont="1" applyFill="1" applyAlignment="1" applyProtection="1">
      <alignment horizontal="center" vertical="center" wrapText="1"/>
      <protection hidden="1"/>
    </xf>
    <xf numFmtId="168" fontId="59" fillId="7" borderId="0" xfId="7" applyNumberFormat="1" applyFont="1" applyFill="1" applyAlignment="1" applyProtection="1">
      <alignment horizontal="center" vertical="center" wrapText="1"/>
      <protection hidden="1"/>
    </xf>
    <xf numFmtId="0" fontId="56" fillId="2" borderId="0" xfId="11" applyFont="1" applyFill="1" applyAlignment="1">
      <alignment horizontal="left" vertical="center"/>
    </xf>
    <xf numFmtId="168" fontId="49" fillId="0" borderId="0" xfId="7" applyNumberFormat="1" applyFont="1" applyAlignment="1" applyProtection="1">
      <alignment horizontal="center" vertical="center"/>
      <protection hidden="1"/>
    </xf>
    <xf numFmtId="0" fontId="50" fillId="22" borderId="38" xfId="0" applyFont="1" applyFill="1" applyBorder="1" applyAlignment="1">
      <alignment horizontal="center" vertical="center" wrapText="1"/>
    </xf>
    <xf numFmtId="0" fontId="50" fillId="22" borderId="43" xfId="0" applyFont="1" applyFill="1" applyBorder="1" applyAlignment="1">
      <alignment horizontal="center" vertical="center" wrapText="1"/>
    </xf>
    <xf numFmtId="0" fontId="50" fillId="22" borderId="51" xfId="0" applyFont="1" applyFill="1" applyBorder="1" applyAlignment="1">
      <alignment horizontal="center" vertical="center" wrapText="1"/>
    </xf>
    <xf numFmtId="0" fontId="50" fillId="22" borderId="44" xfId="0" applyFont="1" applyFill="1" applyBorder="1" applyAlignment="1">
      <alignment horizontal="center" vertical="center" wrapText="1"/>
    </xf>
    <xf numFmtId="0" fontId="50" fillId="22" borderId="1" xfId="0" applyFont="1" applyFill="1" applyBorder="1" applyAlignment="1">
      <alignment horizontal="center" vertical="center" wrapText="1"/>
    </xf>
    <xf numFmtId="0" fontId="50" fillId="22" borderId="4" xfId="0" applyFont="1" applyFill="1" applyBorder="1" applyAlignment="1">
      <alignment horizontal="center" vertical="center" wrapText="1"/>
    </xf>
    <xf numFmtId="0" fontId="50" fillId="22" borderId="6" xfId="0" applyFont="1" applyFill="1" applyBorder="1" applyAlignment="1">
      <alignment horizontal="center" vertical="center" wrapText="1"/>
    </xf>
    <xf numFmtId="0" fontId="50" fillId="22" borderId="21" xfId="0" applyFont="1" applyFill="1" applyBorder="1" applyAlignment="1">
      <alignment horizontal="center" vertical="center" wrapText="1"/>
    </xf>
    <xf numFmtId="40" fontId="49" fillId="6" borderId="33" xfId="0" applyNumberFormat="1" applyFont="1" applyFill="1" applyBorder="1" applyAlignment="1">
      <alignment horizontal="center" vertical="center" wrapText="1"/>
    </xf>
    <xf numFmtId="40" fontId="49" fillId="6" borderId="34" xfId="0" applyNumberFormat="1" applyFont="1" applyFill="1" applyBorder="1" applyAlignment="1">
      <alignment horizontal="center" vertical="center" wrapText="1"/>
    </xf>
    <xf numFmtId="40" fontId="49" fillId="6" borderId="52" xfId="0" applyNumberFormat="1" applyFont="1" applyFill="1" applyBorder="1" applyAlignment="1">
      <alignment horizontal="center" vertical="center" wrapText="1"/>
    </xf>
    <xf numFmtId="40" fontId="49" fillId="6" borderId="4" xfId="0" applyNumberFormat="1" applyFont="1" applyFill="1" applyBorder="1" applyAlignment="1">
      <alignment horizontal="center" vertical="center" wrapText="1"/>
    </xf>
    <xf numFmtId="40" fontId="49" fillId="6" borderId="5" xfId="0" applyNumberFormat="1" applyFont="1" applyFill="1" applyBorder="1" applyAlignment="1">
      <alignment horizontal="center" vertical="center" wrapText="1"/>
    </xf>
    <xf numFmtId="40" fontId="49" fillId="6" borderId="21" xfId="0" applyNumberFormat="1" applyFont="1" applyFill="1" applyBorder="1" applyAlignment="1">
      <alignment horizontal="center" vertical="center" wrapText="1"/>
    </xf>
    <xf numFmtId="40" fontId="46" fillId="0" borderId="48" xfId="0" applyNumberFormat="1" applyFont="1" applyBorder="1" applyAlignment="1">
      <alignment horizontal="center"/>
    </xf>
    <xf numFmtId="40" fontId="46" fillId="0" borderId="25" xfId="0" applyNumberFormat="1" applyFont="1" applyBorder="1" applyAlignment="1">
      <alignment horizontal="center"/>
    </xf>
    <xf numFmtId="0" fontId="49" fillId="6" borderId="38" xfId="0" applyFont="1" applyFill="1" applyBorder="1" applyAlignment="1">
      <alignment horizontal="center" vertical="center" wrapText="1"/>
    </xf>
    <xf numFmtId="0" fontId="49" fillId="6" borderId="43" xfId="0" applyFont="1" applyFill="1" applyBorder="1" applyAlignment="1">
      <alignment horizontal="center" vertical="center" wrapText="1"/>
    </xf>
    <xf numFmtId="0" fontId="49" fillId="6" borderId="51" xfId="0" applyFont="1" applyFill="1" applyBorder="1" applyAlignment="1">
      <alignment horizontal="center" vertical="center" wrapText="1"/>
    </xf>
    <xf numFmtId="0" fontId="49" fillId="6" borderId="44"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2" xfId="0" applyFont="1" applyFill="1" applyBorder="1" applyAlignment="1">
      <alignment horizontal="center" vertical="center" wrapText="1"/>
    </xf>
    <xf numFmtId="0" fontId="49" fillId="6" borderId="4" xfId="0" applyFont="1" applyFill="1" applyBorder="1" applyAlignment="1">
      <alignment horizontal="center" vertical="center" wrapText="1"/>
    </xf>
    <xf numFmtId="0" fontId="49" fillId="6" borderId="6" xfId="0" applyFont="1" applyFill="1" applyBorder="1" applyAlignment="1">
      <alignment horizontal="center" vertical="center" wrapText="1"/>
    </xf>
    <xf numFmtId="0" fontId="49" fillId="6" borderId="7" xfId="0" applyFont="1" applyFill="1" applyBorder="1" applyAlignment="1">
      <alignment horizontal="center" vertical="center" wrapText="1"/>
    </xf>
    <xf numFmtId="0" fontId="49" fillId="6" borderId="21" xfId="0" applyFont="1" applyFill="1" applyBorder="1" applyAlignment="1">
      <alignment horizontal="center" vertical="center" wrapText="1"/>
    </xf>
    <xf numFmtId="0" fontId="46" fillId="7" borderId="0" xfId="0" applyFont="1" applyFill="1" applyAlignment="1">
      <alignment horizontal="center"/>
    </xf>
    <xf numFmtId="0" fontId="46" fillId="0" borderId="8" xfId="0" applyFont="1" applyBorder="1" applyAlignment="1">
      <alignment horizontal="left"/>
    </xf>
    <xf numFmtId="0" fontId="46" fillId="0" borderId="14" xfId="0" applyFont="1" applyBorder="1" applyAlignment="1">
      <alignment horizontal="left"/>
    </xf>
    <xf numFmtId="0" fontId="46" fillId="0" borderId="24" xfId="0" applyFont="1" applyBorder="1" applyAlignment="1">
      <alignment horizontal="center"/>
    </xf>
    <xf numFmtId="0" fontId="46" fillId="0" borderId="25" xfId="0" applyFont="1" applyBorder="1" applyAlignment="1">
      <alignment horizontal="center"/>
    </xf>
    <xf numFmtId="0" fontId="46" fillId="0" borderId="48" xfId="0" applyFont="1" applyBorder="1" applyAlignment="1">
      <alignment horizontal="center"/>
    </xf>
  </cellXfs>
  <cellStyles count="13">
    <cellStyle name="%" xfId="5" xr:uid="{00000000-0005-0000-0000-000000000000}"/>
    <cellStyle name="Comma" xfId="1" builtinId="3"/>
    <cellStyle name="Comma 2" xfId="10" xr:uid="{E9778D38-ADDD-4A38-9A50-07C310307FC6}"/>
    <cellStyle name="Comma 6" xfId="6" xr:uid="{00000000-0005-0000-0000-000002000000}"/>
    <cellStyle name="Hyperlink" xfId="4" builtinId="8"/>
    <cellStyle name="Hyperlink 2" xfId="12" xr:uid="{AF528780-9413-46CF-86E2-25B800C98E23}"/>
    <cellStyle name="Normal" xfId="0" builtinId="0"/>
    <cellStyle name="Normal 2" xfId="3" xr:uid="{00000000-0005-0000-0000-000005000000}"/>
    <cellStyle name="Normal 2 2" xfId="7" xr:uid="{53455E92-D1E2-422D-8FC2-867ADDA761C9}"/>
    <cellStyle name="Normal 3" xfId="8" xr:uid="{F95000E2-897A-4EE0-A839-77790F0D90F1}"/>
    <cellStyle name="Normal 4" xfId="11" xr:uid="{13AF5E6D-DA82-43CB-8817-978FE7AE37A7}"/>
    <cellStyle name="Percent" xfId="2" builtinId="5"/>
    <cellStyle name="Percent 2" xfId="9" xr:uid="{038D6136-B869-4FA2-BF1C-F4C278056B73}"/>
  </cellStyles>
  <dxfs count="75">
    <dxf>
      <font>
        <color rgb="FF9C0006"/>
      </font>
    </dxf>
    <dxf>
      <font>
        <color rgb="FF9C0006"/>
      </font>
    </dxf>
    <dxf>
      <font>
        <color rgb="FFFF0000"/>
      </font>
    </dxf>
    <dxf>
      <numFmt numFmtId="176" formatCode="\-"/>
    </dxf>
    <dxf>
      <numFmt numFmtId="176" formatCode="\-"/>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ndense val="0"/>
        <extend val="0"/>
        <color rgb="FF9C0006"/>
      </font>
      <fill>
        <patternFill>
          <bgColor rgb="FFFFC7CE"/>
        </patternFill>
      </fill>
    </dxf>
    <dxf>
      <font>
        <color rgb="FF00B050"/>
      </font>
    </dxf>
    <dxf>
      <font>
        <color rgb="FFFF0000"/>
      </font>
    </dxf>
    <dxf>
      <alignment horizontal="general" vertical="bottom" textRotation="0" wrapText="0" indent="0" justifyLastLine="0" shrinkToFit="0" readingOrder="0"/>
    </dxf>
    <dxf>
      <border outline="0">
        <left style="thin">
          <color indexed="64"/>
        </left>
      </border>
    </dxf>
    <dxf>
      <alignment horizontal="general" vertical="bottom" textRotation="0" wrapText="0" indent="0" justifyLastLine="0" shrinkToFit="0" readingOrder="0"/>
    </dxf>
    <dxf>
      <font>
        <b val="0"/>
        <i val="0"/>
        <strike val="0"/>
        <condense val="0"/>
        <extend val="0"/>
        <outline val="0"/>
        <shadow val="0"/>
        <u val="none"/>
        <vertAlign val="baseline"/>
        <sz val="9"/>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border outline="0">
        <right style="thin">
          <color indexed="64"/>
        </right>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9"/>
        <color theme="1"/>
        <name val="Arial"/>
        <scheme val="none"/>
      </font>
      <alignment horizontal="center" vertical="bottom" textRotation="0" wrapText="1" indent="0" justifyLastLine="0" shrinkToFit="0" readingOrder="0"/>
    </dxf>
    <dxf>
      <border outline="0">
        <right style="thin">
          <color indexed="64"/>
        </right>
      </border>
    </dxf>
  </dxfs>
  <tableStyles count="0" defaultTableStyle="TableStyleMedium2" defaultPivotStyle="PivotStyleLight16"/>
  <colors>
    <mruColors>
      <color rgb="FFFFFF99"/>
      <color rgb="FFD00070"/>
      <color rgb="FFFFFFCC"/>
      <color rgb="FF00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18</xdr:col>
      <xdr:colOff>334529</xdr:colOff>
      <xdr:row>0</xdr:row>
      <xdr:rowOff>0</xdr:rowOff>
    </xdr:from>
    <xdr:to>
      <xdr:col>22</xdr:col>
      <xdr:colOff>655779</xdr:colOff>
      <xdr:row>6</xdr:row>
      <xdr:rowOff>69272</xdr:rowOff>
    </xdr:to>
    <xdr:pic>
      <xdr:nvPicPr>
        <xdr:cNvPr id="2" name="Picture 1" descr="BCC LOGO" title="BCC LOGO">
          <a:extLst>
            <a:ext uri="{FF2B5EF4-FFF2-40B4-BE49-F238E27FC236}">
              <a16:creationId xmlns:a16="http://schemas.microsoft.com/office/drawing/2014/main" id="{9B24DF5E-F964-8527-303C-078DFF36F1F9}"/>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0021454" y="0"/>
          <a:ext cx="3321625" cy="11265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714375</xdr:colOff>
      <xdr:row>15</xdr:row>
      <xdr:rowOff>85725</xdr:rowOff>
    </xdr:from>
    <xdr:to>
      <xdr:col>1</xdr:col>
      <xdr:colOff>4857750</xdr:colOff>
      <xdr:row>30</xdr:row>
      <xdr:rowOff>85725</xdr:rowOff>
    </xdr:to>
    <xdr:sp macro="" textlink="">
      <xdr:nvSpPr>
        <xdr:cNvPr id="2" name="TextBox 1" descr="Information ">
          <a:extLst>
            <a:ext uri="{FF2B5EF4-FFF2-40B4-BE49-F238E27FC236}">
              <a16:creationId xmlns:a16="http://schemas.microsoft.com/office/drawing/2014/main" id="{EB97A58A-F268-4CEB-9E89-779E1BB608EC}"/>
            </a:ext>
            <a:ext uri="{C183D7F6-B498-43B3-948B-1728B52AA6E4}">
              <adec:decorative xmlns:adec="http://schemas.microsoft.com/office/drawing/2017/decorative" val="0"/>
            </a:ext>
          </a:extLst>
        </xdr:cNvPr>
        <xdr:cNvSpPr txBox="1"/>
      </xdr:nvSpPr>
      <xdr:spPr>
        <a:xfrm>
          <a:off x="2124075" y="3162300"/>
          <a:ext cx="4143375" cy="952500"/>
        </a:xfrm>
        <a:prstGeom prst="rect">
          <a:avLst/>
        </a:prstGeom>
        <a:solidFill>
          <a:srgbClr val="D0007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b="1">
              <a:solidFill>
                <a:schemeClr val="bg1"/>
              </a:solidFill>
              <a:latin typeface="Arial" panose="020B0604020202020204" pitchFamily="34" charset="0"/>
              <a:cs typeface="Arial" panose="020B0604020202020204" pitchFamily="34" charset="0"/>
            </a:rPr>
            <a:t>Please include the FTEs</a:t>
          </a:r>
          <a:r>
            <a:rPr lang="en-GB" sz="1000" b="1" baseline="0">
              <a:solidFill>
                <a:schemeClr val="bg1"/>
              </a:solidFill>
              <a:latin typeface="Arial" panose="020B0604020202020204" pitchFamily="34" charset="0"/>
              <a:cs typeface="Arial" panose="020B0604020202020204" pitchFamily="34" charset="0"/>
            </a:rPr>
            <a:t> of teaching and non teaching staff. This calculation should not include agency staff. This only covers staff that are paid through the payroll system - either BCC or external payroll provider. FTE banding is based on the basic salary and does not include on costs.</a:t>
          </a:r>
          <a:endParaRPr lang="en-GB" sz="10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600075</xdr:colOff>
      <xdr:row>2</xdr:row>
      <xdr:rowOff>142875</xdr:rowOff>
    </xdr:from>
    <xdr:to>
      <xdr:col>29</xdr:col>
      <xdr:colOff>323046</xdr:colOff>
      <xdr:row>33</xdr:row>
      <xdr:rowOff>170745</xdr:rowOff>
    </xdr:to>
    <xdr:pic>
      <xdr:nvPicPr>
        <xdr:cNvPr id="2" name="Picture 1" descr="Example image of how a bank reconciliation can be presented " title="Example image of how a bank reconciliation can be presented ">
          <a:extLst>
            <a:ext uri="{FF2B5EF4-FFF2-40B4-BE49-F238E27FC236}">
              <a16:creationId xmlns:a16="http://schemas.microsoft.com/office/drawing/2014/main" id="{DC7D43E7-5C30-0C4D-6690-740451E6CFCF}"/>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11572875" y="504825"/>
          <a:ext cx="6428571" cy="5638095"/>
        </a:xfrm>
        <a:prstGeom prst="rect">
          <a:avLst/>
        </a:prstGeom>
      </xdr:spPr>
    </xdr:pic>
    <xdr:clientData/>
  </xdr:twoCellAnchor>
  <xdr:twoCellAnchor editAs="oneCell">
    <xdr:from>
      <xdr:col>0</xdr:col>
      <xdr:colOff>0</xdr:colOff>
      <xdr:row>2</xdr:row>
      <xdr:rowOff>171450</xdr:rowOff>
    </xdr:from>
    <xdr:to>
      <xdr:col>19</xdr:col>
      <xdr:colOff>133388</xdr:colOff>
      <xdr:row>35</xdr:row>
      <xdr:rowOff>161925</xdr:rowOff>
    </xdr:to>
    <xdr:pic>
      <xdr:nvPicPr>
        <xdr:cNvPr id="3" name="Picture 2" descr="Example Balance Sheet">
          <a:extLst>
            <a:ext uri="{FF2B5EF4-FFF2-40B4-BE49-F238E27FC236}">
              <a16:creationId xmlns:a16="http://schemas.microsoft.com/office/drawing/2014/main" id="{2D4D1EBB-406B-2D05-F84A-84BD5CEF250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stretch>
          <a:fillRect/>
        </a:stretch>
      </xdr:blipFill>
      <xdr:spPr>
        <a:xfrm>
          <a:off x="0" y="533400"/>
          <a:ext cx="11715788" cy="5962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21</xdr:col>
      <xdr:colOff>293638</xdr:colOff>
      <xdr:row>18</xdr:row>
      <xdr:rowOff>104445</xdr:rowOff>
    </xdr:to>
    <xdr:pic>
      <xdr:nvPicPr>
        <xdr:cNvPr id="2" name="Picture 1" descr="Example image of CFR return sheet" title="Example image of CFR return sheet">
          <a:extLst>
            <a:ext uri="{FF2B5EF4-FFF2-40B4-BE49-F238E27FC236}">
              <a16:creationId xmlns:a16="http://schemas.microsoft.com/office/drawing/2014/main" id="{AA19BF36-59C4-C317-6898-EA746FE93286}"/>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stretch>
          <a:fillRect/>
        </a:stretch>
      </xdr:blipFill>
      <xdr:spPr>
        <a:xfrm>
          <a:off x="0" y="723900"/>
          <a:ext cx="13095238" cy="26380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1" displayName="Table1" ref="K3:K7" totalsRowShown="0" tableBorderDxfId="74">
  <autoFilter ref="K3:K7" xr:uid="{00000000-0009-0000-0100-000001000000}"/>
  <tableColumns count="1">
    <tableColumn id="1" xr3:uid="{00000000-0010-0000-0500-000001000000}" name="Accrual"/>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 displayName="Table2" ref="L3:L40" totalsRowShown="0" headerRowDxfId="73" dataDxfId="72" tableBorderDxfId="71">
  <autoFilter ref="L3:L40" xr:uid="{00000000-0009-0000-0100-000002000000}"/>
  <tableColumns count="1">
    <tableColumn id="1" xr3:uid="{00000000-0010-0000-0600-000001000000}" name="Creditors" dataDxfId="70"/>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Table3" displayName="Table3" ref="M3:M27" totalsRowShown="0" headerRowDxfId="69" dataDxfId="68" tableBorderDxfId="67">
  <autoFilter ref="M3:M27" xr:uid="{00000000-0009-0000-0100-000003000000}"/>
  <tableColumns count="1">
    <tableColumn id="1" xr3:uid="{00000000-0010-0000-0700-000001000000}" name="Debtors" dataDxfId="66"/>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Table4" displayName="Table4" ref="N3:N40" totalsRowShown="0" headerRowDxfId="65" dataDxfId="64">
  <autoFilter ref="N3:N40" xr:uid="{00000000-0009-0000-0100-000004000000}"/>
  <tableColumns count="1">
    <tableColumn id="1" xr3:uid="{00000000-0010-0000-0800-000001000000}" name="Payment in advance" dataDxfId="63"/>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6" displayName="Table6" ref="O3:O27" totalsRowShown="0" headerRowDxfId="62" dataDxfId="61" tableBorderDxfId="60">
  <autoFilter ref="O3:O27" xr:uid="{00000000-0009-0000-0100-000005000000}"/>
  <tableColumns count="1">
    <tableColumn id="1" xr3:uid="{00000000-0010-0000-0900-000001000000}" name="Income in advance" dataDxfId="59"/>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3" Type="http://schemas.openxmlformats.org/officeDocument/2006/relationships/hyperlink" Target="../AppData/Local/Microsoft/Windows/INetCache/Q2/P3%20Jun" TargetMode="External"/><Relationship Id="rId2" Type="http://schemas.openxmlformats.org/officeDocument/2006/relationships/hyperlink" Target="../AppData/Local/Microsoft/Windows/INetCache/Q2/P2%20May" TargetMode="External"/><Relationship Id="rId1" Type="http://schemas.openxmlformats.org/officeDocument/2006/relationships/hyperlink" Target="../AppData/Local/Microsoft/Windows/INetCache/Q2/P1%20April" TargetMode="External"/><Relationship Id="rId5" Type="http://schemas.openxmlformats.org/officeDocument/2006/relationships/printerSettings" Target="../printerSettings/printerSettings3.bin"/><Relationship Id="rId4" Type="http://schemas.openxmlformats.org/officeDocument/2006/relationships/hyperlink" Target="../AppData/Local/Microsoft/Windows/INetCache/Q2/P4%20Jul"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9"/>
  <sheetViews>
    <sheetView showGridLines="0" zoomScale="90" zoomScaleNormal="90" workbookViewId="0">
      <selection activeCell="E8" sqref="E8"/>
    </sheetView>
  </sheetViews>
  <sheetFormatPr defaultRowHeight="14.5"/>
  <cols>
    <col min="1" max="1" width="13.26953125" customWidth="1"/>
    <col min="2" max="2" width="20.54296875" customWidth="1"/>
    <col min="3" max="3" width="86" bestFit="1" customWidth="1"/>
    <col min="4" max="4" width="24.81640625" customWidth="1"/>
    <col min="5" max="5" width="33.453125" customWidth="1"/>
  </cols>
  <sheetData>
    <row r="1" spans="1:4">
      <c r="A1" s="668" t="s">
        <v>1033</v>
      </c>
      <c r="B1" s="669"/>
      <c r="C1" s="670"/>
      <c r="D1" s="671"/>
    </row>
    <row r="2" spans="1:4">
      <c r="A2" s="672"/>
      <c r="B2" s="673"/>
      <c r="C2" s="674"/>
      <c r="D2" s="675"/>
    </row>
    <row r="3" spans="1:4">
      <c r="A3" s="591" t="s">
        <v>212</v>
      </c>
      <c r="B3" s="605" t="str">
        <f>'2. CFR Return'!E4</f>
        <v>0000</v>
      </c>
      <c r="C3" s="367"/>
      <c r="D3" s="592"/>
    </row>
    <row r="4" spans="1:4" ht="15" thickBot="1">
      <c r="A4" s="593" t="s">
        <v>214</v>
      </c>
      <c r="B4" s="594" t="str">
        <f>'2. CFR Return'!E3</f>
        <v xml:space="preserve">SELECT SCHOOL HERE </v>
      </c>
      <c r="C4" s="594"/>
      <c r="D4" s="595"/>
    </row>
    <row r="5" spans="1:4">
      <c r="A5" s="122"/>
      <c r="B5" s="122"/>
    </row>
    <row r="6" spans="1:4" ht="15" thickBot="1">
      <c r="A6" s="122"/>
      <c r="B6" s="122"/>
    </row>
    <row r="7" spans="1:4" ht="15" customHeight="1">
      <c r="A7" s="644" t="s">
        <v>1037</v>
      </c>
      <c r="B7" s="645"/>
      <c r="C7" s="639"/>
      <c r="D7" s="646"/>
    </row>
    <row r="8" spans="1:4" ht="15" customHeight="1">
      <c r="A8" s="647" t="s">
        <v>1038</v>
      </c>
      <c r="B8" s="648"/>
      <c r="C8" s="638"/>
      <c r="D8" s="649"/>
    </row>
    <row r="9" spans="1:4" ht="15" customHeight="1">
      <c r="A9" s="647" t="s">
        <v>1036</v>
      </c>
      <c r="B9" s="650"/>
      <c r="C9" s="638"/>
      <c r="D9" s="651"/>
    </row>
    <row r="10" spans="1:4" ht="15" customHeight="1">
      <c r="A10" s="647" t="s">
        <v>1032</v>
      </c>
      <c r="B10" s="650"/>
      <c r="C10" s="667"/>
      <c r="D10" s="651"/>
    </row>
    <row r="11" spans="1:4" ht="15" customHeight="1" thickBot="1">
      <c r="A11" s="652"/>
      <c r="B11" s="653"/>
      <c r="C11" s="653"/>
      <c r="D11" s="654"/>
    </row>
    <row r="12" spans="1:4" ht="16" thickBot="1">
      <c r="C12" s="655"/>
      <c r="D12" s="655"/>
    </row>
    <row r="13" spans="1:4" ht="26.25" customHeight="1">
      <c r="A13" s="656"/>
      <c r="B13" s="677" t="s">
        <v>291</v>
      </c>
      <c r="C13" s="677"/>
      <c r="D13" s="657" t="s">
        <v>1039</v>
      </c>
    </row>
    <row r="14" spans="1:4" ht="22.5" customHeight="1">
      <c r="A14" s="658">
        <v>1</v>
      </c>
      <c r="B14" s="683" t="s">
        <v>1035</v>
      </c>
      <c r="C14" s="683"/>
      <c r="D14" s="640"/>
    </row>
    <row r="15" spans="1:4" ht="29.25" customHeight="1">
      <c r="A15" s="659" t="s">
        <v>292</v>
      </c>
      <c r="B15" s="682" t="s">
        <v>1034</v>
      </c>
      <c r="C15" s="682"/>
      <c r="D15" s="641"/>
    </row>
    <row r="16" spans="1:4" ht="37.5" hidden="1" customHeight="1">
      <c r="A16" s="659" t="s">
        <v>293</v>
      </c>
      <c r="B16" s="682" t="s">
        <v>301</v>
      </c>
      <c r="C16" s="682"/>
      <c r="D16" s="641"/>
    </row>
    <row r="17" spans="1:4" ht="41.25" customHeight="1">
      <c r="A17" s="659" t="s">
        <v>293</v>
      </c>
      <c r="B17" s="682" t="s">
        <v>302</v>
      </c>
      <c r="C17" s="682"/>
      <c r="D17" s="641"/>
    </row>
    <row r="18" spans="1:4" ht="36.75" customHeight="1">
      <c r="A18" s="659" t="s">
        <v>294</v>
      </c>
      <c r="B18" s="682" t="s">
        <v>303</v>
      </c>
      <c r="C18" s="682"/>
      <c r="D18" s="641"/>
    </row>
    <row r="19" spans="1:4" ht="39" customHeight="1">
      <c r="A19" s="659" t="s">
        <v>295</v>
      </c>
      <c r="B19" s="682" t="s">
        <v>1029</v>
      </c>
      <c r="C19" s="682"/>
      <c r="D19" s="641"/>
    </row>
    <row r="20" spans="1:4" ht="72.75" hidden="1" customHeight="1">
      <c r="A20" s="659" t="s">
        <v>297</v>
      </c>
      <c r="B20" s="682" t="s">
        <v>304</v>
      </c>
      <c r="C20" s="682"/>
      <c r="D20" s="641"/>
    </row>
    <row r="21" spans="1:4" ht="66.75" hidden="1" customHeight="1">
      <c r="A21" s="659" t="s">
        <v>298</v>
      </c>
      <c r="B21" s="682" t="s">
        <v>305</v>
      </c>
      <c r="C21" s="682"/>
      <c r="D21" s="641"/>
    </row>
    <row r="22" spans="1:4" ht="36" hidden="1" customHeight="1">
      <c r="A22" s="659" t="s">
        <v>296</v>
      </c>
      <c r="B22" s="682" t="s">
        <v>828</v>
      </c>
      <c r="C22" s="682"/>
      <c r="D22" s="641"/>
    </row>
    <row r="23" spans="1:4" ht="39.75" hidden="1" customHeight="1">
      <c r="A23" s="659" t="s">
        <v>299</v>
      </c>
      <c r="B23" s="682" t="s">
        <v>306</v>
      </c>
      <c r="C23" s="682"/>
      <c r="D23" s="641"/>
    </row>
    <row r="24" spans="1:4" ht="19.5" customHeight="1">
      <c r="A24" s="659" t="s">
        <v>297</v>
      </c>
      <c r="B24" s="682" t="s">
        <v>307</v>
      </c>
      <c r="C24" s="682"/>
      <c r="D24" s="641"/>
    </row>
    <row r="25" spans="1:4" ht="19.5" hidden="1" customHeight="1">
      <c r="A25" s="659" t="s">
        <v>300</v>
      </c>
      <c r="B25" s="682" t="s">
        <v>308</v>
      </c>
      <c r="C25" s="682"/>
      <c r="D25" s="660"/>
    </row>
    <row r="26" spans="1:4" ht="20.149999999999999" customHeight="1">
      <c r="A26" s="661"/>
      <c r="B26" s="678"/>
      <c r="C26" s="679"/>
      <c r="D26" s="662"/>
    </row>
    <row r="27" spans="1:4" ht="53.25" customHeight="1">
      <c r="A27" s="663">
        <v>2</v>
      </c>
      <c r="B27" s="680" t="s">
        <v>829</v>
      </c>
      <c r="C27" s="681"/>
      <c r="D27" s="642"/>
    </row>
    <row r="28" spans="1:4" ht="20.149999999999999" customHeight="1">
      <c r="A28" s="664"/>
      <c r="B28" s="678"/>
      <c r="C28" s="679"/>
      <c r="D28" s="662"/>
    </row>
    <row r="29" spans="1:4" ht="63" hidden="1" customHeight="1">
      <c r="A29" s="663">
        <v>3</v>
      </c>
      <c r="B29" s="684" t="s">
        <v>998</v>
      </c>
      <c r="C29" s="685"/>
      <c r="D29" s="660"/>
    </row>
    <row r="30" spans="1:4" ht="20.149999999999999" hidden="1" customHeight="1">
      <c r="A30" s="664"/>
      <c r="B30" s="686"/>
      <c r="C30" s="687"/>
      <c r="D30" s="662"/>
    </row>
    <row r="31" spans="1:4" ht="82.5" hidden="1" customHeight="1">
      <c r="A31" s="663">
        <v>3</v>
      </c>
      <c r="B31" s="688" t="s">
        <v>309</v>
      </c>
      <c r="C31" s="689"/>
      <c r="D31" s="665"/>
    </row>
    <row r="32" spans="1:4" ht="20.149999999999999" hidden="1" customHeight="1">
      <c r="A32" s="664"/>
      <c r="B32" s="686"/>
      <c r="C32" s="687"/>
      <c r="D32" s="662"/>
    </row>
    <row r="33" spans="1:4" ht="51.75" hidden="1" customHeight="1">
      <c r="A33" s="663">
        <v>5</v>
      </c>
      <c r="B33" s="688" t="s">
        <v>744</v>
      </c>
      <c r="C33" s="689"/>
      <c r="D33" s="665"/>
    </row>
    <row r="34" spans="1:4" ht="20.149999999999999" hidden="1" customHeight="1">
      <c r="A34" s="664"/>
      <c r="B34" s="686"/>
      <c r="C34" s="687"/>
      <c r="D34" s="662"/>
    </row>
    <row r="35" spans="1:4" ht="36" customHeight="1">
      <c r="A35" s="663">
        <v>3</v>
      </c>
      <c r="B35" s="680" t="s">
        <v>1031</v>
      </c>
      <c r="C35" s="681"/>
      <c r="D35" s="642"/>
    </row>
    <row r="36" spans="1:4" ht="20.149999999999999" customHeight="1">
      <c r="A36" s="664"/>
      <c r="B36" s="678"/>
      <c r="C36" s="679"/>
      <c r="D36" s="662"/>
    </row>
    <row r="37" spans="1:4" ht="45.75" customHeight="1">
      <c r="A37" s="663">
        <v>4</v>
      </c>
      <c r="B37" s="688" t="s">
        <v>1030</v>
      </c>
      <c r="C37" s="689"/>
      <c r="D37" s="640"/>
    </row>
    <row r="38" spans="1:4" ht="20.149999999999999" customHeight="1">
      <c r="A38" s="664"/>
      <c r="B38" s="678"/>
      <c r="C38" s="679"/>
      <c r="D38" s="662"/>
    </row>
    <row r="39" spans="1:4" ht="36" customHeight="1" thickBot="1">
      <c r="A39" s="666">
        <v>5</v>
      </c>
      <c r="B39" s="690" t="s">
        <v>999</v>
      </c>
      <c r="C39" s="691"/>
      <c r="D39" s="643"/>
    </row>
  </sheetData>
  <sheetProtection algorithmName="SHA-512" hashValue="99LKxkpM0Dhzi8cltUjZuOPX/x9A7BS7m1TPA+Xp9rU89PeCRpKWr9hdGFdjdFIas2CW/Jq8LKQCLpkLqBKZUQ==" saltValue="pORo8FUVLRPn4aTx2i915Q==" spinCount="100000" sheet="1" objects="1" scenarios="1"/>
  <mergeCells count="27">
    <mergeCell ref="B39:C39"/>
    <mergeCell ref="B33:C33"/>
    <mergeCell ref="B35:C35"/>
    <mergeCell ref="B36:C36"/>
    <mergeCell ref="B37:C37"/>
    <mergeCell ref="B38:C38"/>
    <mergeCell ref="B34:C34"/>
    <mergeCell ref="B29:C29"/>
    <mergeCell ref="B30:C30"/>
    <mergeCell ref="B31:C31"/>
    <mergeCell ref="B32:C32"/>
    <mergeCell ref="B19:C19"/>
    <mergeCell ref="B13:C13"/>
    <mergeCell ref="B26:C26"/>
    <mergeCell ref="B27:C27"/>
    <mergeCell ref="B28:C28"/>
    <mergeCell ref="B20:C20"/>
    <mergeCell ref="B21:C21"/>
    <mergeCell ref="B22:C22"/>
    <mergeCell ref="B23:C23"/>
    <mergeCell ref="B24:C24"/>
    <mergeCell ref="B25:C25"/>
    <mergeCell ref="B14:C14"/>
    <mergeCell ref="B15:C15"/>
    <mergeCell ref="B16:C16"/>
    <mergeCell ref="B17:C17"/>
    <mergeCell ref="B18:C18"/>
  </mergeCells>
  <pageMargins left="0.7" right="0.7" top="0.75" bottom="0.75" header="0.3" footer="0.3"/>
  <headerFooter>
    <oddFooter>&amp;C_x000D_&amp;1#&amp;"Calibri"&amp;10&amp;K000000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00"/>
  </sheetPr>
  <dimension ref="A1:DZ7"/>
  <sheetViews>
    <sheetView workbookViewId="0">
      <selection activeCell="G7" sqref="G7"/>
    </sheetView>
  </sheetViews>
  <sheetFormatPr defaultRowHeight="14.5"/>
  <sheetData>
    <row r="1" spans="1:130" s="129" customFormat="1" ht="15.5">
      <c r="A1" s="127" t="str">
        <f>Forecast!A1</f>
        <v>Birmingham Financial Monitoring Return 2025/26</v>
      </c>
      <c r="B1" s="128"/>
      <c r="H1" s="129" t="str">
        <f>Forecast!H1</f>
        <v xml:space="preserve"> Quarter 1 2025-26</v>
      </c>
    </row>
    <row r="2" spans="1:130" s="129" customFormat="1" ht="15.5">
      <c r="A2" s="127" t="str">
        <f>Forecast!A2</f>
        <v xml:space="preserve">LA Data Sheet - 2025-26 </v>
      </c>
      <c r="B2" s="128"/>
      <c r="C2" s="127" t="s">
        <v>748</v>
      </c>
    </row>
    <row r="3" spans="1:130" s="129" customFormat="1" ht="15.5">
      <c r="A3" s="150"/>
      <c r="B3" s="150"/>
    </row>
    <row r="4" spans="1:130" s="135" customFormat="1" ht="12.75" customHeight="1">
      <c r="A4" s="708" t="s">
        <v>218</v>
      </c>
      <c r="B4" s="709"/>
      <c r="C4" s="709"/>
      <c r="D4" s="709"/>
      <c r="E4" s="709"/>
      <c r="F4" s="710"/>
      <c r="G4" s="711" t="s">
        <v>219</v>
      </c>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2"/>
      <c r="BJ4" s="712"/>
      <c r="BK4" s="712"/>
      <c r="BL4" s="712"/>
      <c r="BM4" s="713"/>
      <c r="BN4" s="714" t="s">
        <v>220</v>
      </c>
      <c r="BO4" s="715"/>
      <c r="BP4" s="715"/>
      <c r="BQ4" s="715"/>
      <c r="BR4" s="715"/>
      <c r="BS4" s="715"/>
      <c r="BT4" s="715"/>
      <c r="BU4" s="715"/>
      <c r="BV4" s="715"/>
      <c r="BW4" s="715"/>
      <c r="BX4" s="715"/>
      <c r="BY4" s="715"/>
      <c r="BZ4" s="715"/>
      <c r="CA4" s="715"/>
      <c r="CB4" s="715"/>
      <c r="CC4" s="716"/>
      <c r="CD4" s="717" t="s">
        <v>221</v>
      </c>
      <c r="CE4" s="718"/>
      <c r="CF4" s="718"/>
      <c r="CG4" s="718"/>
      <c r="CH4" s="718"/>
      <c r="CI4" s="718"/>
      <c r="CJ4" s="718"/>
      <c r="CK4" s="718"/>
      <c r="CL4" s="719"/>
      <c r="CM4" s="720" t="s">
        <v>222</v>
      </c>
      <c r="CN4" s="720"/>
      <c r="CO4" s="720"/>
      <c r="CP4" s="720"/>
      <c r="CQ4" s="720"/>
      <c r="CR4" s="720"/>
      <c r="CS4" s="721" t="s">
        <v>223</v>
      </c>
      <c r="CT4" s="722"/>
      <c r="CU4" s="722"/>
      <c r="CV4" s="722"/>
      <c r="CW4" s="722"/>
      <c r="CX4" s="722"/>
      <c r="CY4" s="722"/>
      <c r="CZ4" s="722"/>
      <c r="DA4" s="723"/>
      <c r="DB4" s="702" t="s">
        <v>224</v>
      </c>
      <c r="DC4" s="703"/>
      <c r="DD4" s="703"/>
      <c r="DE4" s="703"/>
      <c r="DF4" s="703"/>
      <c r="DG4" s="703"/>
      <c r="DH4" s="703"/>
      <c r="DI4" s="703"/>
      <c r="DJ4" s="704"/>
      <c r="DK4" s="705" t="s">
        <v>225</v>
      </c>
      <c r="DL4" s="705"/>
      <c r="DM4" s="705"/>
      <c r="DN4" s="705"/>
      <c r="DO4" s="705"/>
      <c r="DP4" s="705"/>
      <c r="DQ4" s="705"/>
      <c r="DR4" s="705"/>
      <c r="DS4" s="705"/>
      <c r="DT4" s="706" t="s">
        <v>226</v>
      </c>
      <c r="DU4" s="706"/>
      <c r="DV4" s="707" t="s">
        <v>227</v>
      </c>
      <c r="DW4" s="707"/>
      <c r="DX4" s="134"/>
    </row>
    <row r="5" spans="1:130" s="146" customFormat="1" ht="139.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787</v>
      </c>
      <c r="AS5" s="137" t="s">
        <v>785</v>
      </c>
      <c r="AT5" s="137" t="s">
        <v>786</v>
      </c>
      <c r="AU5" s="137" t="s">
        <v>788</v>
      </c>
      <c r="AV5" s="137" t="s">
        <v>789</v>
      </c>
      <c r="AW5" s="137" t="s">
        <v>790</v>
      </c>
      <c r="AX5" s="137" t="s">
        <v>791</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787</v>
      </c>
      <c r="BV5" s="138" t="s">
        <v>785</v>
      </c>
      <c r="BW5" s="138" t="s">
        <v>788</v>
      </c>
      <c r="BX5" s="138" t="s">
        <v>792</v>
      </c>
      <c r="BY5" s="138" t="s">
        <v>790</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827</v>
      </c>
      <c r="CY5" s="140" t="s">
        <v>265</v>
      </c>
      <c r="CZ5" s="140" t="s">
        <v>167</v>
      </c>
      <c r="DA5" s="140" t="s">
        <v>266</v>
      </c>
      <c r="DB5" s="141" t="s">
        <v>262</v>
      </c>
      <c r="DC5" s="141" t="s">
        <v>263</v>
      </c>
      <c r="DD5" s="141" t="s">
        <v>264</v>
      </c>
      <c r="DE5" s="141" t="s">
        <v>165</v>
      </c>
      <c r="DF5" s="141" t="s">
        <v>166</v>
      </c>
      <c r="DG5" s="141" t="s">
        <v>827</v>
      </c>
      <c r="DH5" s="141" t="s">
        <v>265</v>
      </c>
      <c r="DI5" s="141" t="s">
        <v>167</v>
      </c>
      <c r="DJ5" s="141" t="s">
        <v>266</v>
      </c>
      <c r="DK5" s="131" t="s">
        <v>170</v>
      </c>
      <c r="DL5" s="131" t="s">
        <v>172</v>
      </c>
      <c r="DM5" s="131" t="s">
        <v>173</v>
      </c>
      <c r="DN5" s="131" t="s">
        <v>174</v>
      </c>
      <c r="DO5" s="131" t="s">
        <v>175</v>
      </c>
      <c r="DP5" s="131" t="s">
        <v>177</v>
      </c>
      <c r="DQ5" s="131" t="s">
        <v>178</v>
      </c>
      <c r="DR5" s="131" t="s">
        <v>179</v>
      </c>
      <c r="DS5" s="131" t="s">
        <v>267</v>
      </c>
      <c r="DT5" s="142" t="s">
        <v>170</v>
      </c>
      <c r="DU5" s="142" t="s">
        <v>172</v>
      </c>
      <c r="DV5" s="143" t="s">
        <v>175</v>
      </c>
      <c r="DW5" s="143" t="s">
        <v>177</v>
      </c>
      <c r="DX5" s="144" t="s">
        <v>268</v>
      </c>
      <c r="DY5" s="145" t="s">
        <v>269</v>
      </c>
    </row>
    <row r="6" spans="1:130" s="135" customFormat="1" ht="15.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773</v>
      </c>
      <c r="AS6" s="152" t="s">
        <v>774</v>
      </c>
      <c r="AT6" s="152" t="s">
        <v>775</v>
      </c>
      <c r="AU6" s="152" t="s">
        <v>776</v>
      </c>
      <c r="AV6" s="152" t="s">
        <v>777</v>
      </c>
      <c r="AW6" s="152" t="s">
        <v>778</v>
      </c>
      <c r="AX6" s="152" t="s">
        <v>779</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780</v>
      </c>
      <c r="BV6" s="154" t="s">
        <v>781</v>
      </c>
      <c r="BW6" s="154" t="s">
        <v>782</v>
      </c>
      <c r="BX6" s="154" t="s">
        <v>783</v>
      </c>
      <c r="BY6" s="154" t="s">
        <v>784</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8"/>
      <c r="DC6" s="158"/>
      <c r="DD6" s="158"/>
      <c r="DE6" s="158"/>
      <c r="DF6" s="158"/>
      <c r="DG6" s="158"/>
      <c r="DH6" s="158"/>
      <c r="DI6" s="158"/>
      <c r="DJ6" s="158"/>
      <c r="DK6" s="159"/>
      <c r="DL6" s="159"/>
      <c r="DM6" s="159"/>
      <c r="DN6" s="159"/>
      <c r="DO6" s="159"/>
      <c r="DP6" s="159"/>
      <c r="DQ6" s="159"/>
      <c r="DR6" s="159"/>
      <c r="DS6" s="159"/>
      <c r="DT6" s="132"/>
      <c r="DU6" s="132"/>
      <c r="DV6" s="133"/>
      <c r="DW6" s="133"/>
      <c r="DX6" s="160"/>
      <c r="DY6" s="161"/>
    </row>
    <row r="7" spans="1:130" s="135" customFormat="1" ht="46.5">
      <c r="A7" s="148" t="str">
        <f>'2. CFR Return'!E4</f>
        <v>0000</v>
      </c>
      <c r="B7" s="148" t="str">
        <f>'2. CFR Return'!E3</f>
        <v xml:space="preserve">SELECT SCHOOL HERE </v>
      </c>
      <c r="C7" s="148" t="str">
        <f>H1</f>
        <v xml:space="preserve"> Quarter 1 2025-26</v>
      </c>
      <c r="D7" s="148"/>
      <c r="E7" s="148" t="str">
        <f>'2. CFR Return'!E5</f>
        <v>Quarter 3</v>
      </c>
      <c r="F7" s="148"/>
      <c r="G7" s="149">
        <f>'2. CFR Return'!$S15</f>
        <v>0</v>
      </c>
      <c r="H7" s="149">
        <f>'2. CFR Return'!$S16</f>
        <v>0</v>
      </c>
      <c r="I7" s="149">
        <f>'2. CFR Return'!$S17</f>
        <v>0</v>
      </c>
      <c r="J7" s="149">
        <f>'2. CFR Return'!$S18</f>
        <v>0</v>
      </c>
      <c r="K7" s="149">
        <f>'2. CFR Return'!$S19</f>
        <v>0</v>
      </c>
      <c r="L7" s="149">
        <f>'2. CFR Return'!$S20</f>
        <v>0</v>
      </c>
      <c r="M7" s="149">
        <f>'2. CFR Return'!$S21</f>
        <v>0</v>
      </c>
      <c r="N7" s="149">
        <f>'2. CFR Return'!$S22</f>
        <v>0</v>
      </c>
      <c r="O7" s="149">
        <f>'2. CFR Return'!$S23</f>
        <v>0</v>
      </c>
      <c r="P7" s="149">
        <f>'2. CFR Return'!$S24</f>
        <v>0</v>
      </c>
      <c r="Q7" s="149">
        <f>'2. CFR Return'!$S25</f>
        <v>0</v>
      </c>
      <c r="R7" s="149">
        <f>'2. CFR Return'!$S26</f>
        <v>0</v>
      </c>
      <c r="S7" s="149">
        <f>'2. CFR Return'!$S27</f>
        <v>0</v>
      </c>
      <c r="T7" s="149">
        <f>'2. CFR Return'!$S28</f>
        <v>0</v>
      </c>
      <c r="U7" s="149">
        <f>'2. CFR Return'!$S29</f>
        <v>0</v>
      </c>
      <c r="V7" s="149"/>
      <c r="W7" s="149"/>
      <c r="X7" s="149">
        <f>SUM(G7:W7)</f>
        <v>0</v>
      </c>
      <c r="Y7" s="149">
        <f>'2. CFR Return'!$S32</f>
        <v>0</v>
      </c>
      <c r="Z7" s="149">
        <f>'2. CFR Return'!$S33</f>
        <v>0</v>
      </c>
      <c r="AA7" s="149">
        <f>'2. CFR Return'!$S34</f>
        <v>0</v>
      </c>
      <c r="AB7" s="149">
        <f>'2. CFR Return'!$S35</f>
        <v>0</v>
      </c>
      <c r="AC7" s="149">
        <f>'2. CFR Return'!$S36</f>
        <v>0</v>
      </c>
      <c r="AD7" s="149">
        <f>'2. CFR Return'!$S37</f>
        <v>0</v>
      </c>
      <c r="AE7" s="149">
        <f>'2. CFR Return'!$S38</f>
        <v>0</v>
      </c>
      <c r="AF7" s="149">
        <f>'2. CFR Return'!$S39</f>
        <v>0</v>
      </c>
      <c r="AG7" s="149">
        <f>'2. CFR Return'!$S40</f>
        <v>0</v>
      </c>
      <c r="AH7" s="149">
        <f>'2. CFR Return'!$S41</f>
        <v>0</v>
      </c>
      <c r="AI7" s="149">
        <f>'2. CFR Return'!$S42</f>
        <v>0</v>
      </c>
      <c r="AJ7" s="149">
        <f>'2. CFR Return'!$S43</f>
        <v>0</v>
      </c>
      <c r="AK7" s="149">
        <f>'2. CFR Return'!$S44</f>
        <v>0</v>
      </c>
      <c r="AL7" s="149">
        <f>'2. CFR Return'!$S45</f>
        <v>0</v>
      </c>
      <c r="AM7" s="149">
        <f>'2. CFR Return'!$S46</f>
        <v>0</v>
      </c>
      <c r="AN7" s="149">
        <f>'2. CFR Return'!$S47</f>
        <v>0</v>
      </c>
      <c r="AO7" s="149">
        <f>'2. CFR Return'!$S48</f>
        <v>0</v>
      </c>
      <c r="AP7" s="149">
        <f>'2. CFR Return'!$S49</f>
        <v>0</v>
      </c>
      <c r="AQ7" s="149">
        <f>'2. CFR Return'!$S50</f>
        <v>0</v>
      </c>
      <c r="AR7" s="149">
        <f>'2. CFR Return'!$S51</f>
        <v>0</v>
      </c>
      <c r="AS7" s="149">
        <f>'2. CFR Return'!$S52</f>
        <v>0</v>
      </c>
      <c r="AT7" s="149">
        <f>'2. CFR Return'!$S53</f>
        <v>0</v>
      </c>
      <c r="AU7" s="149">
        <f>'2. CFR Return'!$S54</f>
        <v>0</v>
      </c>
      <c r="AV7" s="149">
        <f>'2. CFR Return'!$S55</f>
        <v>0</v>
      </c>
      <c r="AW7" s="149">
        <f>'2. CFR Return'!$S56</f>
        <v>0</v>
      </c>
      <c r="AX7" s="149">
        <f>'2. CFR Return'!$S57</f>
        <v>0</v>
      </c>
      <c r="AY7" s="149">
        <f>'2. CFR Return'!$S58</f>
        <v>0</v>
      </c>
      <c r="AZ7" s="149">
        <f>'2. CFR Return'!$S59</f>
        <v>0</v>
      </c>
      <c r="BA7" s="149">
        <f>'2. CFR Return'!$S60</f>
        <v>0</v>
      </c>
      <c r="BB7" s="149">
        <f>'2. CFR Return'!$S61</f>
        <v>0</v>
      </c>
      <c r="BC7" s="149">
        <f>'2. CFR Return'!$S62</f>
        <v>0</v>
      </c>
      <c r="BD7" s="149">
        <f>'2. CFR Return'!$S63</f>
        <v>0</v>
      </c>
      <c r="BE7" s="149">
        <f>'2. CFR Return'!$S64</f>
        <v>0</v>
      </c>
      <c r="BF7" s="149">
        <f>'2. CFR Return'!$S65</f>
        <v>0</v>
      </c>
      <c r="BG7" s="149">
        <f>'2. CFR Return'!$S66</f>
        <v>0</v>
      </c>
      <c r="BH7" s="149">
        <f>'2. CFR Return'!$S67</f>
        <v>0</v>
      </c>
      <c r="BI7" s="149">
        <f>'2. CFR Return'!$S68</f>
        <v>0</v>
      </c>
      <c r="BJ7" s="149">
        <f>SUM(Y7:BI7)</f>
        <v>0</v>
      </c>
      <c r="BK7" s="149">
        <f>'2. CFR Return'!$S13</f>
        <v>0</v>
      </c>
      <c r="BL7" s="149">
        <f>X7-BJ7</f>
        <v>0</v>
      </c>
      <c r="BM7" s="149">
        <f>BK7+BL7</f>
        <v>0</v>
      </c>
      <c r="BN7" s="149">
        <f>'2. CFR Return'!$S79</f>
        <v>0</v>
      </c>
      <c r="BO7" s="149">
        <f>'2. CFR Return'!S80</f>
        <v>0</v>
      </c>
      <c r="BP7" s="149">
        <f>'2. CFR Return'!$S81</f>
        <v>0</v>
      </c>
      <c r="BQ7" s="149">
        <f>SUM(BN7:BP7)</f>
        <v>0</v>
      </c>
      <c r="BR7" s="149">
        <f>'2. CFR Return'!$S84</f>
        <v>0</v>
      </c>
      <c r="BS7" s="149">
        <f>'2. CFR Return'!$S85</f>
        <v>0</v>
      </c>
      <c r="BT7" s="149">
        <f>'2. CFR Return'!$S86</f>
        <v>0</v>
      </c>
      <c r="BU7" s="149">
        <f>'2. CFR Return'!$S87</f>
        <v>0</v>
      </c>
      <c r="BV7" s="149">
        <f>'2. CFR Return'!$S88</f>
        <v>0</v>
      </c>
      <c r="BW7" s="149">
        <f>'2. CFR Return'!$S89</f>
        <v>0</v>
      </c>
      <c r="BX7" s="149">
        <f>'2. CFR Return'!$S90</f>
        <v>0</v>
      </c>
      <c r="BY7" s="149">
        <f>'2. CFR Return'!$S91</f>
        <v>0</v>
      </c>
      <c r="BZ7" s="149">
        <f>SUM(BR7:BY7)</f>
        <v>0</v>
      </c>
      <c r="CA7" s="149">
        <f>'2. CFR Return'!$S77</f>
        <v>0</v>
      </c>
      <c r="CB7" s="149">
        <f>BQ7-BZ7</f>
        <v>0</v>
      </c>
      <c r="CC7" s="149">
        <f>CA7+CB7</f>
        <v>0</v>
      </c>
      <c r="CD7" s="149">
        <f>'2. CFR Return'!$S102</f>
        <v>0</v>
      </c>
      <c r="CE7" s="149">
        <f>'2. CFR Return'!$S103</f>
        <v>0</v>
      </c>
      <c r="CF7" s="149">
        <f>CD7+CE7</f>
        <v>0</v>
      </c>
      <c r="CG7" s="149">
        <f>'2. CFR Return'!$S106</f>
        <v>0</v>
      </c>
      <c r="CH7" s="149">
        <f>'2. CFR Return'!$S107</f>
        <v>0</v>
      </c>
      <c r="CI7" s="149">
        <f>CG7+CH7</f>
        <v>0</v>
      </c>
      <c r="CJ7" s="149">
        <f>'2. CFR Return'!$S100</f>
        <v>0</v>
      </c>
      <c r="CK7" s="149">
        <f>CF7-CI7</f>
        <v>0</v>
      </c>
      <c r="CL7" s="149">
        <f>CJ7+CK7</f>
        <v>0</v>
      </c>
      <c r="CM7" s="149">
        <f>'2. CFR Return'!$S119</f>
        <v>0</v>
      </c>
      <c r="CN7" s="149">
        <f>'2. CFR Return'!$S120</f>
        <v>0</v>
      </c>
      <c r="CO7" s="149">
        <f>'2. CFR Return'!$S121</f>
        <v>0</v>
      </c>
      <c r="CP7" s="149">
        <f>'2. CFR Return'!$S122</f>
        <v>0</v>
      </c>
      <c r="CQ7" s="149">
        <f>'2. CFR Return'!$S123</f>
        <v>0</v>
      </c>
      <c r="CR7" s="149">
        <f>SUM(CM7:CQ7)</f>
        <v>0</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SUM(CV7:CZ7)</f>
        <v>0</v>
      </c>
      <c r="DB7" s="149">
        <f>+'2. CFR Return'!S130</f>
        <v>0</v>
      </c>
      <c r="DC7" s="149">
        <f>+'2. CFR Return'!S133</f>
        <v>0</v>
      </c>
      <c r="DD7" s="149">
        <f>+'2. CFR Return'!S134</f>
        <v>0</v>
      </c>
      <c r="DE7" s="149">
        <f>DB7-DC7+DD7</f>
        <v>0</v>
      </c>
      <c r="DF7" s="149">
        <f>+'2. CFR Return'!S138</f>
        <v>0</v>
      </c>
      <c r="DG7" s="149">
        <f>'2. CFR Return'!S139</f>
        <v>0</v>
      </c>
      <c r="DH7" s="149">
        <f>+'2. CFR Return'!S140</f>
        <v>0</v>
      </c>
      <c r="DI7" s="149">
        <f>+'2. CFR Return'!S141</f>
        <v>0</v>
      </c>
      <c r="DJ7" s="149">
        <f>SUM(DE7:DI7)</f>
        <v>0</v>
      </c>
      <c r="DK7" s="149">
        <f>+'2. CFR Return'!$S148</f>
        <v>0</v>
      </c>
      <c r="DL7" s="149">
        <f>+'2. CFR Return'!$S149</f>
        <v>0</v>
      </c>
      <c r="DM7" s="149">
        <f>+'2. CFR Return'!$S150</f>
        <v>0</v>
      </c>
      <c r="DN7" s="149">
        <f>+'2. CFR Return'!$S151</f>
        <v>0</v>
      </c>
      <c r="DO7" s="149">
        <f>+'2. CFR Return'!$S152</f>
        <v>0</v>
      </c>
      <c r="DP7" s="149">
        <f>+'2. CFR Return'!$S153</f>
        <v>0</v>
      </c>
      <c r="DQ7" s="149">
        <f>+'2. CFR Return'!$S154</f>
        <v>0</v>
      </c>
      <c r="DR7" s="149">
        <f>+'2. CFR Return'!$S155</f>
        <v>0</v>
      </c>
      <c r="DS7" s="149">
        <f>SUM(DK7:DR7)</f>
        <v>0</v>
      </c>
      <c r="DT7" s="149">
        <f>+'2. CFR Return'!S161</f>
        <v>0</v>
      </c>
      <c r="DU7" s="149">
        <f>+'2. CFR Return'!S162</f>
        <v>0</v>
      </c>
      <c r="DV7" s="149">
        <f>+'2. CFR Return'!S165</f>
        <v>0</v>
      </c>
      <c r="DW7" s="149">
        <f>+'2. CFR Return'!S166</f>
        <v>0</v>
      </c>
      <c r="DX7" s="149">
        <f>+'2. CFR Return'!S168</f>
        <v>0</v>
      </c>
      <c r="DY7" s="147">
        <f>+'2. CFR Return'!S172</f>
        <v>0</v>
      </c>
      <c r="DZ7" s="162">
        <f>+CR7-DA7-DJ7-DS7-DT7-DU7-DV7-DW7-DX7</f>
        <v>0</v>
      </c>
    </row>
  </sheetData>
  <mergeCells count="10">
    <mergeCell ref="DK4:DS4"/>
    <mergeCell ref="DT4:DU4"/>
    <mergeCell ref="DV4:DW4"/>
    <mergeCell ref="A4:F4"/>
    <mergeCell ref="G4:BM4"/>
    <mergeCell ref="BN4:CC4"/>
    <mergeCell ref="CD4:CL4"/>
    <mergeCell ref="CM4:CR4"/>
    <mergeCell ref="CS4:DA4"/>
    <mergeCell ref="DB4:DJ4"/>
  </mergeCells>
  <pageMargins left="0.7" right="0.7" top="0.75" bottom="0.75" header="0.3" footer="0.3"/>
  <headerFooter>
    <oddFooter>&amp;C_x000D_&amp;1#&amp;"Calibri"&amp;10&amp;K000000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D50A-24AE-408D-972E-B87A9DB57CE3}">
  <sheetPr codeName="Sheet12"/>
  <dimension ref="A1:EL214"/>
  <sheetViews>
    <sheetView workbookViewId="0">
      <selection activeCell="D12" sqref="D12"/>
    </sheetView>
  </sheetViews>
  <sheetFormatPr defaultRowHeight="15.5"/>
  <cols>
    <col min="1" max="1" width="14.453125" style="350" customWidth="1"/>
    <col min="2" max="2" width="55.81640625" style="129" bestFit="1" customWidth="1"/>
    <col min="3" max="3" width="14.453125" style="350" customWidth="1"/>
    <col min="4" max="4" width="35" customWidth="1"/>
    <col min="5" max="5" width="16.54296875" customWidth="1"/>
    <col min="6" max="6" width="14.54296875" customWidth="1"/>
    <col min="7" max="7" width="12.1796875" customWidth="1"/>
    <col min="8" max="8" width="15.453125" customWidth="1"/>
    <col min="9" max="15" width="13.54296875" customWidth="1"/>
    <col min="16" max="16" width="16.54296875" customWidth="1"/>
    <col min="17" max="23" width="13.54296875" customWidth="1"/>
    <col min="24" max="24" width="16.1796875" customWidth="1"/>
    <col min="25" max="25" width="17.7265625" bestFit="1" customWidth="1"/>
    <col min="26" max="26" width="15.81640625" customWidth="1"/>
    <col min="27" max="27" width="17.26953125" bestFit="1" customWidth="1"/>
    <col min="28" max="28" width="18.453125" bestFit="1" customWidth="1"/>
    <col min="29" max="29" width="15" bestFit="1" customWidth="1"/>
    <col min="30" max="30" width="18.7265625" bestFit="1" customWidth="1"/>
    <col min="31" max="31" width="18.54296875" bestFit="1" customWidth="1"/>
    <col min="32" max="32" width="18.453125" bestFit="1" customWidth="1"/>
    <col min="33" max="33" width="15.453125" bestFit="1" customWidth="1"/>
    <col min="34" max="34" width="18.1796875" bestFit="1" customWidth="1"/>
    <col min="35" max="35" width="15.453125" bestFit="1" customWidth="1"/>
    <col min="36" max="36" width="17.81640625" bestFit="1" customWidth="1"/>
    <col min="37" max="38" width="18.453125" bestFit="1" customWidth="1"/>
    <col min="39" max="39" width="18.26953125" bestFit="1" customWidth="1"/>
    <col min="40" max="40" width="16.1796875" bestFit="1" customWidth="1"/>
    <col min="41" max="41" width="15" bestFit="1" customWidth="1"/>
    <col min="42" max="42" width="13.81640625" bestFit="1" customWidth="1"/>
    <col min="43" max="43" width="16.81640625" bestFit="1" customWidth="1"/>
    <col min="44" max="44" width="16.453125" bestFit="1" customWidth="1"/>
    <col min="45" max="46" width="15.453125" bestFit="1" customWidth="1"/>
    <col min="47" max="47" width="18.7265625" bestFit="1" customWidth="1"/>
    <col min="48" max="48" width="15.54296875" bestFit="1" customWidth="1"/>
    <col min="49" max="49" width="13.81640625" bestFit="1" customWidth="1"/>
    <col min="50" max="51" width="15" bestFit="1" customWidth="1"/>
    <col min="52" max="52" width="17.7265625" bestFit="1" customWidth="1"/>
    <col min="53" max="53" width="18.26953125" bestFit="1" customWidth="1"/>
    <col min="54" max="54" width="16.81640625" bestFit="1" customWidth="1"/>
    <col min="55" max="55" width="18.54296875" bestFit="1" customWidth="1"/>
    <col min="56" max="56" width="18.1796875" bestFit="1" customWidth="1"/>
    <col min="57" max="57" width="16.81640625" bestFit="1" customWidth="1"/>
    <col min="58" max="58" width="15" bestFit="1" customWidth="1"/>
    <col min="59" max="59" width="18.54296875" bestFit="1" customWidth="1"/>
    <col min="60" max="60" width="15" bestFit="1" customWidth="1"/>
    <col min="61" max="61" width="13.81640625" bestFit="1" customWidth="1"/>
    <col min="62" max="62" width="18.7265625" bestFit="1" customWidth="1"/>
    <col min="63" max="63" width="14.7265625" bestFit="1" customWidth="1"/>
    <col min="64" max="64" width="13.81640625" bestFit="1" customWidth="1"/>
    <col min="65" max="65" width="16.81640625" bestFit="1" customWidth="1"/>
    <col min="66" max="66" width="18.26953125" bestFit="1" customWidth="1"/>
    <col min="67" max="67" width="16.453125" bestFit="1" customWidth="1"/>
    <col min="68" max="68" width="15.81640625" bestFit="1" customWidth="1"/>
    <col min="69" max="69" width="15.453125" bestFit="1" customWidth="1"/>
    <col min="70" max="70" width="14.1796875" bestFit="1" customWidth="1"/>
    <col min="71" max="71" width="18.81640625" bestFit="1" customWidth="1"/>
    <col min="72" max="72" width="13.81640625" bestFit="1" customWidth="1"/>
    <col min="73" max="74" width="15.81640625" bestFit="1" customWidth="1"/>
    <col min="75" max="75" width="15.453125" bestFit="1" customWidth="1"/>
    <col min="76" max="76" width="13.54296875" bestFit="1" customWidth="1"/>
    <col min="77" max="77" width="17.7265625" bestFit="1" customWidth="1"/>
    <col min="78" max="78" width="14.7265625" bestFit="1" customWidth="1"/>
    <col min="79" max="79" width="17" bestFit="1" customWidth="1"/>
    <col min="80" max="80" width="13.54296875" bestFit="1" customWidth="1"/>
    <col min="81" max="81" width="14" bestFit="1" customWidth="1"/>
    <col min="82" max="82" width="16.453125" bestFit="1" customWidth="1"/>
    <col min="83" max="83" width="22.81640625" bestFit="1" customWidth="1"/>
    <col min="84" max="84" width="20.54296875" bestFit="1" customWidth="1"/>
    <col min="85" max="85" width="18.54296875" bestFit="1" customWidth="1"/>
    <col min="86" max="86" width="17" bestFit="1" customWidth="1"/>
    <col min="87" max="87" width="21" bestFit="1" customWidth="1"/>
    <col min="88" max="88" width="18.54296875" bestFit="1" customWidth="1"/>
    <col min="89" max="89" width="17.81640625" bestFit="1" customWidth="1"/>
    <col min="90" max="90" width="16.7265625" bestFit="1" customWidth="1"/>
    <col min="91" max="91" width="19.26953125" bestFit="1" customWidth="1"/>
    <col min="92" max="92" width="18.453125" bestFit="1" customWidth="1"/>
    <col min="93" max="94" width="19.1796875" bestFit="1" customWidth="1"/>
    <col min="95" max="95" width="20.453125" bestFit="1" customWidth="1"/>
    <col min="96" max="96" width="19.54296875" bestFit="1" customWidth="1"/>
    <col min="97" max="97" width="19.26953125" bestFit="1" customWidth="1"/>
    <col min="98" max="98" width="18.7265625" bestFit="1" customWidth="1"/>
    <col min="99" max="99" width="17.26953125" bestFit="1" customWidth="1"/>
    <col min="100" max="100" width="16.7265625" bestFit="1" customWidth="1"/>
    <col min="101" max="101" width="18.7265625" bestFit="1" customWidth="1"/>
    <col min="102" max="102" width="23.26953125" bestFit="1" customWidth="1"/>
    <col min="103" max="103" width="19" bestFit="1" customWidth="1"/>
    <col min="104" max="104" width="21.26953125" bestFit="1" customWidth="1"/>
    <col min="105" max="106" width="18.1796875" bestFit="1" customWidth="1"/>
    <col min="107" max="107" width="22.453125" bestFit="1" customWidth="1"/>
    <col min="108" max="108" width="17.7265625" bestFit="1" customWidth="1"/>
    <col min="109" max="109" width="18.54296875" bestFit="1" customWidth="1"/>
    <col min="110" max="110" width="18.1796875" bestFit="1" customWidth="1"/>
    <col min="111" max="111" width="14.7265625" bestFit="1" customWidth="1"/>
    <col min="112" max="112" width="13.81640625" bestFit="1" customWidth="1"/>
    <col min="113" max="113" width="18.54296875" bestFit="1" customWidth="1"/>
    <col min="114" max="114" width="15.453125" bestFit="1" customWidth="1"/>
    <col min="115" max="115" width="14.54296875" bestFit="1" customWidth="1"/>
    <col min="116" max="116" width="22.453125" bestFit="1" customWidth="1"/>
    <col min="117" max="117" width="17.7265625" bestFit="1" customWidth="1"/>
    <col min="118" max="118" width="23.54296875" bestFit="1" customWidth="1"/>
    <col min="119" max="119" width="14.7265625" customWidth="1"/>
    <col min="120" max="120" width="12.54296875" customWidth="1"/>
    <col min="121" max="121" width="18.7265625" customWidth="1"/>
    <col min="122" max="123" width="15.453125" bestFit="1" customWidth="1"/>
    <col min="124" max="124" width="14.1796875" bestFit="1" customWidth="1"/>
    <col min="125" max="126" width="13.81640625" customWidth="1"/>
    <col min="127" max="127" width="16.81640625" bestFit="1" customWidth="1"/>
    <col min="128" max="128" width="12.453125" customWidth="1"/>
    <col min="129" max="129" width="13.26953125" bestFit="1" customWidth="1"/>
    <col min="130" max="130" width="30.7265625" style="307" bestFit="1" customWidth="1"/>
    <col min="131" max="131" width="52.26953125" style="307" bestFit="1" customWidth="1"/>
    <col min="132" max="135" width="11.7265625" bestFit="1" customWidth="1"/>
    <col min="136" max="136" width="8.453125" bestFit="1" customWidth="1"/>
    <col min="137" max="137" width="11.7265625" bestFit="1" customWidth="1"/>
    <col min="138" max="138" width="11.7265625" style="307" bestFit="1" customWidth="1"/>
    <col min="139" max="142" width="11.7265625" bestFit="1" customWidth="1"/>
    <col min="143" max="143" width="8.453125" bestFit="1" customWidth="1"/>
    <col min="144" max="148" width="11.7265625" bestFit="1" customWidth="1"/>
    <col min="149" max="149" width="10.54296875" bestFit="1" customWidth="1"/>
    <col min="150" max="153" width="11.7265625" bestFit="1" customWidth="1"/>
    <col min="154" max="154" width="8.453125" bestFit="1" customWidth="1"/>
    <col min="155" max="161" width="11.7265625" bestFit="1" customWidth="1"/>
    <col min="162" max="162" width="14" bestFit="1" customWidth="1"/>
    <col min="163" max="165" width="11.7265625" bestFit="1" customWidth="1"/>
    <col min="166" max="166" width="14" bestFit="1" customWidth="1"/>
    <col min="167" max="167" width="10.54296875" bestFit="1" customWidth="1"/>
    <col min="168" max="169" width="11.7265625" bestFit="1" customWidth="1"/>
    <col min="170" max="170" width="8.453125" bestFit="1" customWidth="1"/>
    <col min="171" max="176" width="11.7265625" bestFit="1" customWidth="1"/>
    <col min="177" max="177" width="10.54296875" bestFit="1" customWidth="1"/>
    <col min="178" max="179" width="11.7265625" bestFit="1" customWidth="1"/>
    <col min="180" max="180" width="8.453125" bestFit="1" customWidth="1"/>
    <col min="181" max="182" width="11.7265625" bestFit="1" customWidth="1"/>
    <col min="183" max="183" width="7.26953125" bestFit="1" customWidth="1"/>
    <col min="184" max="188" width="10.54296875" bestFit="1" customWidth="1"/>
    <col min="189" max="189" width="7.26953125" bestFit="1" customWidth="1"/>
    <col min="190" max="190" width="9.54296875" bestFit="1" customWidth="1"/>
    <col min="191" max="204" width="10.54296875" bestFit="1" customWidth="1"/>
    <col min="205" max="205" width="9.54296875" bestFit="1" customWidth="1"/>
    <col min="206" max="206" width="14" bestFit="1" customWidth="1"/>
    <col min="207" max="207" width="10.54296875" bestFit="1" customWidth="1"/>
    <col min="208" max="208" width="9.54296875" bestFit="1" customWidth="1"/>
    <col min="209" max="217" width="10.54296875" bestFit="1" customWidth="1"/>
    <col min="218" max="218" width="8.81640625" bestFit="1" customWidth="1"/>
    <col min="219" max="219" width="10.54296875" bestFit="1" customWidth="1"/>
    <col min="220" max="220" width="14" bestFit="1" customWidth="1"/>
    <col min="221" max="229" width="10.54296875" bestFit="1" customWidth="1"/>
    <col min="230" max="232" width="9.54296875" bestFit="1" customWidth="1"/>
    <col min="233" max="233" width="7.26953125" bestFit="1" customWidth="1"/>
    <col min="234" max="234" width="8.81640625" bestFit="1" customWidth="1"/>
    <col min="235" max="235" width="9.54296875" bestFit="1" customWidth="1"/>
    <col min="236" max="236" width="10.54296875" bestFit="1" customWidth="1"/>
    <col min="237" max="237" width="9.54296875" bestFit="1" customWidth="1"/>
    <col min="238" max="238" width="2.1796875" bestFit="1" customWidth="1"/>
    <col min="239" max="239" width="3.26953125" bestFit="1" customWidth="1"/>
    <col min="240" max="240" width="8.81640625" bestFit="1" customWidth="1"/>
    <col min="241" max="241" width="9.54296875" bestFit="1" customWidth="1"/>
    <col min="242" max="243" width="8.81640625" bestFit="1" customWidth="1"/>
    <col min="244" max="249" width="10" bestFit="1" customWidth="1"/>
    <col min="250" max="250" width="8.81640625" bestFit="1" customWidth="1"/>
    <col min="251" max="254" width="10" bestFit="1" customWidth="1"/>
    <col min="255" max="255" width="11.7265625" bestFit="1" customWidth="1"/>
    <col min="256" max="259" width="10" bestFit="1" customWidth="1"/>
    <col min="260" max="260" width="10.54296875" bestFit="1" customWidth="1"/>
    <col min="261" max="265" width="10" bestFit="1" customWidth="1"/>
    <col min="266" max="266" width="11.1796875" bestFit="1" customWidth="1"/>
    <col min="267" max="270" width="10" bestFit="1" customWidth="1"/>
    <col min="271" max="271" width="10.54296875" bestFit="1" customWidth="1"/>
    <col min="272" max="274" width="10" bestFit="1" customWidth="1"/>
    <col min="275" max="275" width="6.7265625" bestFit="1" customWidth="1"/>
    <col min="276" max="276" width="8.81640625" bestFit="1" customWidth="1"/>
    <col min="277" max="277" width="6.7265625" bestFit="1" customWidth="1"/>
    <col min="278" max="278" width="10" bestFit="1" customWidth="1"/>
    <col min="279" max="279" width="6.7265625" bestFit="1" customWidth="1"/>
    <col min="280" max="282" width="10" bestFit="1" customWidth="1"/>
    <col min="283" max="283" width="10.54296875" bestFit="1" customWidth="1"/>
    <col min="284" max="285" width="10" bestFit="1" customWidth="1"/>
    <col min="286" max="286" width="10.54296875" bestFit="1" customWidth="1"/>
    <col min="287" max="288" width="10" bestFit="1" customWidth="1"/>
    <col min="289" max="289" width="6.7265625" bestFit="1" customWidth="1"/>
    <col min="290" max="290" width="10" bestFit="1" customWidth="1"/>
    <col min="291" max="293" width="11.1796875" bestFit="1" customWidth="1"/>
    <col min="294" max="294" width="7.7265625" bestFit="1" customWidth="1"/>
    <col min="295" max="295" width="12.1796875" bestFit="1" customWidth="1"/>
    <col min="296" max="303" width="11.1796875" bestFit="1" customWidth="1"/>
    <col min="304" max="304" width="10" bestFit="1" customWidth="1"/>
    <col min="305" max="309" width="11.1796875" bestFit="1" customWidth="1"/>
    <col min="310" max="310" width="13.26953125" bestFit="1" customWidth="1"/>
    <col min="311" max="311" width="11.1796875" bestFit="1" customWidth="1"/>
    <col min="312" max="312" width="7.7265625" bestFit="1" customWidth="1"/>
    <col min="313" max="316" width="11.1796875" bestFit="1" customWidth="1"/>
    <col min="317" max="317" width="7.7265625" bestFit="1" customWidth="1"/>
    <col min="318" max="328" width="11.1796875" bestFit="1" customWidth="1"/>
    <col min="329" max="329" width="12.1796875" bestFit="1" customWidth="1"/>
    <col min="330" max="330" width="11.1796875" bestFit="1" customWidth="1"/>
    <col min="331" max="331" width="10" bestFit="1" customWidth="1"/>
    <col min="332" max="332" width="12.1796875" bestFit="1" customWidth="1"/>
    <col min="333" max="333" width="7.26953125" bestFit="1" customWidth="1"/>
    <col min="334" max="334" width="11.26953125" bestFit="1" customWidth="1"/>
    <col min="335" max="335" width="24.1796875" bestFit="1" customWidth="1"/>
    <col min="336" max="336" width="7.81640625" bestFit="1" customWidth="1"/>
    <col min="337" max="337" width="11" bestFit="1" customWidth="1"/>
    <col min="338" max="338" width="10.1796875" bestFit="1" customWidth="1"/>
    <col min="339" max="339" width="12.54296875" bestFit="1" customWidth="1"/>
    <col min="340" max="340" width="11.26953125" bestFit="1" customWidth="1"/>
    <col min="341" max="341" width="24.1796875" bestFit="1" customWidth="1"/>
    <col min="342" max="342" width="11.26953125" bestFit="1" customWidth="1"/>
    <col min="343" max="343" width="24.1796875" bestFit="1" customWidth="1"/>
    <col min="344" max="344" width="11.26953125" bestFit="1" customWidth="1"/>
    <col min="345" max="345" width="24.1796875" bestFit="1" customWidth="1"/>
    <col min="346" max="346" width="7.26953125" bestFit="1" customWidth="1"/>
    <col min="347" max="347" width="7" bestFit="1" customWidth="1"/>
    <col min="348" max="348" width="5" bestFit="1" customWidth="1"/>
    <col min="349" max="349" width="8.1796875" bestFit="1" customWidth="1"/>
    <col min="350" max="350" width="10.54296875" bestFit="1" customWidth="1"/>
    <col min="351" max="351" width="23.26953125" bestFit="1" customWidth="1"/>
    <col min="352" max="352" width="10.54296875" bestFit="1" customWidth="1"/>
    <col min="353" max="353" width="23.26953125" bestFit="1" customWidth="1"/>
    <col min="354" max="354" width="10.54296875" bestFit="1" customWidth="1"/>
    <col min="355" max="355" width="23.26953125" bestFit="1" customWidth="1"/>
    <col min="356" max="356" width="10.54296875" bestFit="1" customWidth="1"/>
    <col min="357" max="357" width="23.26953125" bestFit="1" customWidth="1"/>
    <col min="358" max="358" width="11.7265625" bestFit="1" customWidth="1"/>
    <col min="359" max="359" width="23.26953125" bestFit="1" customWidth="1"/>
    <col min="360" max="360" width="11.7265625" bestFit="1" customWidth="1"/>
    <col min="361" max="361" width="23.26953125" bestFit="1" customWidth="1"/>
    <col min="362" max="362" width="11.7265625" bestFit="1" customWidth="1"/>
    <col min="363" max="363" width="23.26953125" bestFit="1" customWidth="1"/>
    <col min="364" max="364" width="11.7265625" bestFit="1" customWidth="1"/>
    <col min="365" max="365" width="23.26953125" bestFit="1" customWidth="1"/>
    <col min="366" max="366" width="11.7265625" bestFit="1" customWidth="1"/>
    <col min="367" max="367" width="14.1796875" bestFit="1" customWidth="1"/>
    <col min="368" max="368" width="11.7265625" bestFit="1" customWidth="1"/>
    <col min="369" max="369" width="23.26953125" bestFit="1" customWidth="1"/>
    <col min="370" max="370" width="10.54296875" bestFit="1" customWidth="1"/>
    <col min="371" max="371" width="23.26953125" bestFit="1" customWidth="1"/>
    <col min="372" max="372" width="11.7265625" bestFit="1" customWidth="1"/>
    <col min="373" max="373" width="23.26953125" bestFit="1" customWidth="1"/>
    <col min="374" max="374" width="11.7265625" bestFit="1" customWidth="1"/>
    <col min="375" max="375" width="23.26953125" bestFit="1" customWidth="1"/>
    <col min="376" max="376" width="11.7265625" bestFit="1" customWidth="1"/>
    <col min="377" max="377" width="23.26953125" bestFit="1" customWidth="1"/>
    <col min="378" max="378" width="11.7265625" bestFit="1" customWidth="1"/>
    <col min="379" max="379" width="23.26953125" bestFit="1" customWidth="1"/>
    <col min="380" max="380" width="11.7265625" bestFit="1" customWidth="1"/>
    <col min="381" max="381" width="23.26953125" bestFit="1" customWidth="1"/>
    <col min="382" max="382" width="11.7265625" bestFit="1" customWidth="1"/>
    <col min="383" max="383" width="23.26953125" bestFit="1" customWidth="1"/>
    <col min="384" max="384" width="11.7265625" bestFit="1" customWidth="1"/>
    <col min="385" max="385" width="23.26953125" bestFit="1" customWidth="1"/>
    <col min="386" max="386" width="11.7265625" bestFit="1" customWidth="1"/>
    <col min="387" max="387" width="23.26953125" bestFit="1" customWidth="1"/>
    <col min="388" max="388" width="11.7265625" bestFit="1" customWidth="1"/>
    <col min="389" max="389" width="23.26953125" bestFit="1" customWidth="1"/>
    <col min="390" max="390" width="11.7265625" bestFit="1" customWidth="1"/>
    <col min="391" max="391" width="23.26953125" bestFit="1" customWidth="1"/>
    <col min="392" max="392" width="11.7265625" bestFit="1" customWidth="1"/>
    <col min="393" max="393" width="22.1796875" bestFit="1" customWidth="1"/>
    <col min="394" max="394" width="11.7265625" bestFit="1" customWidth="1"/>
    <col min="395" max="395" width="14.1796875" bestFit="1" customWidth="1"/>
    <col min="396" max="396" width="11.7265625" bestFit="1" customWidth="1"/>
    <col min="397" max="397" width="23.26953125" bestFit="1" customWidth="1"/>
    <col min="398" max="398" width="11.7265625" bestFit="1" customWidth="1"/>
    <col min="399" max="399" width="23.26953125" bestFit="1" customWidth="1"/>
    <col min="400" max="400" width="11.7265625" bestFit="1" customWidth="1"/>
    <col min="401" max="401" width="23.26953125" bestFit="1" customWidth="1"/>
    <col min="402" max="402" width="12.81640625" bestFit="1" customWidth="1"/>
    <col min="403" max="403" width="23.26953125" bestFit="1" customWidth="1"/>
    <col min="404" max="404" width="11.7265625" bestFit="1" customWidth="1"/>
    <col min="405" max="405" width="23.26953125" bestFit="1" customWidth="1"/>
    <col min="406" max="406" width="11.7265625" bestFit="1" customWidth="1"/>
    <col min="407" max="407" width="23.26953125" bestFit="1" customWidth="1"/>
    <col min="408" max="408" width="11.7265625" bestFit="1" customWidth="1"/>
    <col min="409" max="409" width="23.26953125" bestFit="1" customWidth="1"/>
    <col min="410" max="410" width="11.7265625" bestFit="1" customWidth="1"/>
    <col min="411" max="411" width="23.26953125" bestFit="1" customWidth="1"/>
    <col min="412" max="412" width="11.7265625" bestFit="1" customWidth="1"/>
    <col min="413" max="413" width="23.26953125" bestFit="1" customWidth="1"/>
    <col min="414" max="414" width="11.7265625" bestFit="1" customWidth="1"/>
    <col min="415" max="415" width="23.26953125" bestFit="1" customWidth="1"/>
    <col min="416" max="416" width="11.7265625" bestFit="1" customWidth="1"/>
    <col min="417" max="417" width="23.26953125" bestFit="1" customWidth="1"/>
    <col min="418" max="418" width="11.7265625" bestFit="1" customWidth="1"/>
    <col min="419" max="419" width="23.26953125" bestFit="1" customWidth="1"/>
    <col min="420" max="420" width="8.453125" bestFit="1" customWidth="1"/>
    <col min="421" max="421" width="11.453125" bestFit="1" customWidth="1"/>
    <col min="422" max="422" width="10.54296875" bestFit="1" customWidth="1"/>
    <col min="423" max="423" width="13" bestFit="1" customWidth="1"/>
    <col min="424" max="424" width="8.453125" bestFit="1" customWidth="1"/>
    <col min="425" max="425" width="11.453125" bestFit="1" customWidth="1"/>
    <col min="426" max="426" width="11.7265625" bestFit="1" customWidth="1"/>
    <col min="427" max="427" width="14.1796875" bestFit="1" customWidth="1"/>
    <col min="428" max="428" width="8.453125" bestFit="1" customWidth="1"/>
    <col min="429" max="429" width="11.453125" bestFit="1" customWidth="1"/>
    <col min="430" max="430" width="11.7265625" bestFit="1" customWidth="1"/>
    <col min="431" max="431" width="23.26953125" bestFit="1" customWidth="1"/>
    <col min="432" max="432" width="11.7265625" bestFit="1" customWidth="1"/>
    <col min="433" max="433" width="23.26953125" bestFit="1" customWidth="1"/>
    <col min="434" max="434" width="11.7265625" bestFit="1" customWidth="1"/>
    <col min="435" max="435" width="22.1796875" bestFit="1" customWidth="1"/>
    <col min="436" max="436" width="11.7265625" bestFit="1" customWidth="1"/>
    <col min="437" max="437" width="23.26953125" bestFit="1" customWidth="1"/>
    <col min="438" max="438" width="11.7265625" bestFit="1" customWidth="1"/>
    <col min="439" max="439" width="23.26953125" bestFit="1" customWidth="1"/>
    <col min="440" max="440" width="11.7265625" bestFit="1" customWidth="1"/>
    <col min="441" max="441" width="23.26953125" bestFit="1" customWidth="1"/>
    <col min="442" max="442" width="11.7265625" bestFit="1" customWidth="1"/>
    <col min="443" max="443" width="22.1796875" bestFit="1" customWidth="1"/>
    <col min="444" max="444" width="11.7265625" bestFit="1" customWidth="1"/>
    <col min="445" max="445" width="14.1796875" bestFit="1" customWidth="1"/>
    <col min="446" max="446" width="11.7265625" bestFit="1" customWidth="1"/>
    <col min="447" max="447" width="23.26953125" bestFit="1" customWidth="1"/>
    <col min="448" max="448" width="8.453125" bestFit="1" customWidth="1"/>
    <col min="449" max="449" width="11.453125" bestFit="1" customWidth="1"/>
    <col min="450" max="450" width="11.7265625" bestFit="1" customWidth="1"/>
    <col min="451" max="451" width="23.26953125" bestFit="1" customWidth="1"/>
    <col min="452" max="452" width="12.81640625" bestFit="1" customWidth="1"/>
    <col min="453" max="453" width="23.26953125" bestFit="1" customWidth="1"/>
    <col min="454" max="454" width="12.81640625" bestFit="1" customWidth="1"/>
    <col min="455" max="455" width="15.453125" bestFit="1" customWidth="1"/>
    <col min="456" max="456" width="12.81640625" bestFit="1" customWidth="1"/>
    <col min="457" max="457" width="15.453125" bestFit="1" customWidth="1"/>
    <col min="458" max="458" width="9.453125" bestFit="1" customWidth="1"/>
    <col min="459" max="459" width="12.54296875" bestFit="1" customWidth="1"/>
    <col min="460" max="460" width="13.81640625" bestFit="1" customWidth="1"/>
    <col min="461" max="461" width="23.26953125" bestFit="1" customWidth="1"/>
    <col min="462" max="462" width="12.81640625" bestFit="1" customWidth="1"/>
    <col min="463" max="463" width="23.26953125" bestFit="1" customWidth="1"/>
    <col min="464" max="464" width="12.81640625" bestFit="1" customWidth="1"/>
    <col min="465" max="465" width="23.26953125" bestFit="1" customWidth="1"/>
    <col min="466" max="466" width="12.81640625" bestFit="1" customWidth="1"/>
    <col min="467" max="467" width="23.26953125" bestFit="1" customWidth="1"/>
    <col min="468" max="468" width="12.81640625" bestFit="1" customWidth="1"/>
    <col min="469" max="469" width="15.453125" bestFit="1" customWidth="1"/>
    <col min="470" max="470" width="12.81640625" bestFit="1" customWidth="1"/>
    <col min="471" max="471" width="23.26953125" bestFit="1" customWidth="1"/>
    <col min="472" max="472" width="12.81640625" bestFit="1" customWidth="1"/>
    <col min="473" max="473" width="23.26953125" bestFit="1" customWidth="1"/>
    <col min="474" max="474" width="12.81640625" bestFit="1" customWidth="1"/>
    <col min="475" max="475" width="15.453125" bestFit="1" customWidth="1"/>
    <col min="476" max="476" width="12.81640625" bestFit="1" customWidth="1"/>
    <col min="477" max="477" width="15.453125" bestFit="1" customWidth="1"/>
    <col min="478" max="478" width="11.7265625" bestFit="1" customWidth="1"/>
    <col min="479" max="479" width="23.26953125" bestFit="1" customWidth="1"/>
    <col min="480" max="480" width="12.81640625" bestFit="1" customWidth="1"/>
    <col min="481" max="481" width="15.453125" bestFit="1" customWidth="1"/>
    <col min="482" max="482" width="12.81640625" bestFit="1" customWidth="1"/>
    <col min="483" max="483" width="23.26953125" bestFit="1" customWidth="1"/>
    <col min="484" max="484" width="12.81640625" bestFit="1" customWidth="1"/>
    <col min="485" max="485" width="23.26953125" bestFit="1" customWidth="1"/>
    <col min="486" max="486" width="12.81640625" bestFit="1" customWidth="1"/>
    <col min="487" max="487" width="15.453125" bestFit="1" customWidth="1"/>
    <col min="488" max="488" width="12.81640625" bestFit="1" customWidth="1"/>
    <col min="489" max="489" width="23.26953125" bestFit="1" customWidth="1"/>
    <col min="490" max="490" width="15" bestFit="1" customWidth="1"/>
    <col min="491" max="491" width="23.26953125" bestFit="1" customWidth="1"/>
    <col min="492" max="492" width="12.81640625" bestFit="1" customWidth="1"/>
    <col min="493" max="493" width="23.26953125" bestFit="1" customWidth="1"/>
    <col min="494" max="494" width="9.453125" bestFit="1" customWidth="1"/>
    <col min="495" max="495" width="12.54296875" bestFit="1" customWidth="1"/>
    <col min="496" max="496" width="12.81640625" bestFit="1" customWidth="1"/>
    <col min="497" max="497" width="15.453125" bestFit="1" customWidth="1"/>
    <col min="498" max="498" width="12.81640625" bestFit="1" customWidth="1"/>
    <col min="499" max="499" width="23.26953125" bestFit="1" customWidth="1"/>
    <col min="500" max="500" width="12.81640625" bestFit="1" customWidth="1"/>
    <col min="501" max="501" width="23.26953125" bestFit="1" customWidth="1"/>
    <col min="502" max="502" width="12.81640625" bestFit="1" customWidth="1"/>
    <col min="503" max="503" width="15.453125" bestFit="1" customWidth="1"/>
    <col min="504" max="504" width="9.453125" bestFit="1" customWidth="1"/>
    <col min="505" max="505" width="12.54296875" bestFit="1" customWidth="1"/>
    <col min="506" max="506" width="12.81640625" bestFit="1" customWidth="1"/>
    <col min="507" max="507" width="23.26953125" bestFit="1" customWidth="1"/>
    <col min="508" max="508" width="12.81640625" bestFit="1" customWidth="1"/>
    <col min="509" max="509" width="15.453125" bestFit="1" customWidth="1"/>
    <col min="510" max="510" width="12.81640625" bestFit="1" customWidth="1"/>
    <col min="511" max="511" width="23.26953125" bestFit="1" customWidth="1"/>
    <col min="512" max="512" width="12.81640625" bestFit="1" customWidth="1"/>
    <col min="513" max="513" width="15.453125" bestFit="1" customWidth="1"/>
    <col min="514" max="514" width="12.81640625" bestFit="1" customWidth="1"/>
    <col min="515" max="515" width="15.453125" bestFit="1" customWidth="1"/>
    <col min="516" max="516" width="12.81640625" bestFit="1" customWidth="1"/>
    <col min="517" max="517" width="23.26953125" bestFit="1" customWidth="1"/>
    <col min="518" max="518" width="12.81640625" bestFit="1" customWidth="1"/>
    <col min="519" max="519" width="23.26953125" bestFit="1" customWidth="1"/>
    <col min="520" max="520" width="12.81640625" bestFit="1" customWidth="1"/>
    <col min="521" max="521" width="23.26953125" bestFit="1" customWidth="1"/>
    <col min="522" max="522" width="12.81640625" bestFit="1" customWidth="1"/>
    <col min="523" max="523" width="15.453125" bestFit="1" customWidth="1"/>
    <col min="524" max="524" width="12.81640625" bestFit="1" customWidth="1"/>
    <col min="525" max="525" width="15.453125" bestFit="1" customWidth="1"/>
    <col min="526" max="526" width="12.81640625" bestFit="1" customWidth="1"/>
    <col min="527" max="527" width="15.453125" bestFit="1" customWidth="1"/>
    <col min="528" max="528" width="13.81640625" bestFit="1" customWidth="1"/>
    <col min="529" max="529" width="16.453125" bestFit="1" customWidth="1"/>
    <col min="530" max="530" width="12.81640625" bestFit="1" customWidth="1"/>
    <col min="531" max="531" width="15.453125" bestFit="1" customWidth="1"/>
    <col min="532" max="532" width="11.7265625" bestFit="1" customWidth="1"/>
    <col min="533" max="533" width="23.26953125" bestFit="1" customWidth="1"/>
    <col min="534" max="534" width="13.81640625" bestFit="1" customWidth="1"/>
    <col min="535" max="535" width="16.453125" bestFit="1" customWidth="1"/>
    <col min="537" max="537" width="12.1796875" bestFit="1" customWidth="1"/>
    <col min="538" max="538" width="11.26953125" bestFit="1" customWidth="1"/>
  </cols>
  <sheetData>
    <row r="1" spans="1:142" s="129" customFormat="1">
      <c r="A1" s="296" t="s">
        <v>801</v>
      </c>
      <c r="B1" s="128"/>
      <c r="C1" s="296" t="s">
        <v>801</v>
      </c>
      <c r="D1" s="128"/>
      <c r="DZ1" s="297"/>
      <c r="EA1" s="297"/>
      <c r="EH1" s="297"/>
    </row>
    <row r="2" spans="1:142" s="129" customFormat="1">
      <c r="A2" s="724" t="s">
        <v>802</v>
      </c>
      <c r="B2" s="724"/>
      <c r="C2" s="298"/>
      <c r="D2" s="128"/>
      <c r="DZ2" s="297"/>
      <c r="EA2" s="297"/>
      <c r="EH2" s="297"/>
    </row>
    <row r="3" spans="1:142" s="129" customFormat="1">
      <c r="A3" s="299"/>
      <c r="B3" s="150"/>
      <c r="C3" s="299">
        <v>1</v>
      </c>
      <c r="D3" s="300">
        <v>2</v>
      </c>
      <c r="E3" s="300">
        <v>3</v>
      </c>
      <c r="F3" s="299">
        <v>4</v>
      </c>
      <c r="G3" s="300">
        <v>5</v>
      </c>
      <c r="H3" s="300">
        <v>6</v>
      </c>
      <c r="I3" s="299">
        <v>7</v>
      </c>
      <c r="J3" s="300">
        <v>8</v>
      </c>
      <c r="K3" s="300">
        <v>9</v>
      </c>
      <c r="L3" s="299">
        <v>10</v>
      </c>
      <c r="M3" s="300">
        <v>11</v>
      </c>
      <c r="N3" s="300">
        <v>12</v>
      </c>
      <c r="O3" s="299">
        <v>13</v>
      </c>
      <c r="P3" s="300">
        <v>14</v>
      </c>
      <c r="Q3" s="300">
        <v>15</v>
      </c>
      <c r="R3" s="299">
        <v>16</v>
      </c>
      <c r="S3" s="300">
        <v>17</v>
      </c>
      <c r="T3" s="300">
        <v>18</v>
      </c>
      <c r="U3" s="299">
        <v>19</v>
      </c>
      <c r="V3" s="300">
        <v>20</v>
      </c>
      <c r="W3" s="300">
        <v>21</v>
      </c>
      <c r="X3" s="299">
        <v>22</v>
      </c>
      <c r="Y3" s="300">
        <v>23</v>
      </c>
      <c r="Z3" s="300">
        <v>24</v>
      </c>
      <c r="AA3" s="299">
        <v>25</v>
      </c>
      <c r="AB3" s="300">
        <v>26</v>
      </c>
      <c r="AC3" s="300">
        <v>27</v>
      </c>
      <c r="AD3" s="299">
        <v>28</v>
      </c>
      <c r="AE3" s="300">
        <v>29</v>
      </c>
      <c r="AF3" s="300">
        <v>30</v>
      </c>
      <c r="AG3" s="299">
        <v>31</v>
      </c>
      <c r="AH3" s="300">
        <v>32</v>
      </c>
      <c r="AI3" s="300">
        <v>33</v>
      </c>
      <c r="AJ3" s="299">
        <v>34</v>
      </c>
      <c r="AK3" s="300">
        <v>35</v>
      </c>
      <c r="AL3" s="300">
        <v>36</v>
      </c>
      <c r="AM3" s="299">
        <v>37</v>
      </c>
      <c r="AN3" s="300">
        <v>38</v>
      </c>
      <c r="AO3" s="300">
        <v>39</v>
      </c>
      <c r="AP3" s="299">
        <v>40</v>
      </c>
      <c r="AQ3" s="300">
        <v>41</v>
      </c>
      <c r="AR3" s="300">
        <v>42</v>
      </c>
      <c r="AS3" s="299">
        <v>43</v>
      </c>
      <c r="AT3" s="300">
        <v>44</v>
      </c>
      <c r="AU3" s="300">
        <v>45</v>
      </c>
      <c r="AV3" s="299">
        <v>46</v>
      </c>
      <c r="AW3" s="300">
        <v>47</v>
      </c>
      <c r="AX3" s="300">
        <v>48</v>
      </c>
      <c r="AY3" s="299">
        <v>49</v>
      </c>
      <c r="AZ3" s="300">
        <v>50</v>
      </c>
      <c r="BA3" s="300">
        <v>51</v>
      </c>
      <c r="BB3" s="299">
        <v>52</v>
      </c>
      <c r="BC3" s="300">
        <v>53</v>
      </c>
      <c r="BD3" s="300">
        <v>54</v>
      </c>
      <c r="BE3" s="299">
        <v>55</v>
      </c>
      <c r="BF3" s="300">
        <v>56</v>
      </c>
      <c r="BG3" s="300">
        <v>57</v>
      </c>
      <c r="BH3" s="299">
        <v>58</v>
      </c>
      <c r="BI3" s="300">
        <v>59</v>
      </c>
      <c r="BJ3" s="300">
        <v>60</v>
      </c>
      <c r="BK3" s="299">
        <v>61</v>
      </c>
      <c r="BL3" s="300">
        <v>62</v>
      </c>
      <c r="BM3" s="300">
        <v>63</v>
      </c>
      <c r="BN3" s="299">
        <v>64</v>
      </c>
      <c r="BO3" s="300">
        <v>65</v>
      </c>
      <c r="BP3" s="300">
        <v>66</v>
      </c>
      <c r="BQ3" s="299">
        <v>67</v>
      </c>
      <c r="BR3" s="300">
        <v>68</v>
      </c>
      <c r="BS3" s="300">
        <v>69</v>
      </c>
      <c r="BT3" s="299">
        <v>70</v>
      </c>
      <c r="BU3" s="300">
        <v>71</v>
      </c>
      <c r="BV3" s="300">
        <v>72</v>
      </c>
      <c r="BW3" s="299">
        <v>73</v>
      </c>
      <c r="BX3" s="300">
        <v>74</v>
      </c>
      <c r="BY3" s="300">
        <v>75</v>
      </c>
      <c r="BZ3" s="299">
        <v>76</v>
      </c>
      <c r="CA3" s="300">
        <v>77</v>
      </c>
      <c r="CB3" s="300">
        <v>78</v>
      </c>
      <c r="CC3" s="299">
        <v>79</v>
      </c>
      <c r="CD3" s="300">
        <v>80</v>
      </c>
      <c r="CE3" s="300">
        <v>81</v>
      </c>
      <c r="CF3" s="299">
        <v>82</v>
      </c>
      <c r="CG3" s="300">
        <v>83</v>
      </c>
      <c r="CH3" s="300">
        <v>84</v>
      </c>
      <c r="CI3" s="299">
        <v>85</v>
      </c>
      <c r="CJ3" s="300">
        <v>86</v>
      </c>
      <c r="CK3" s="300">
        <v>87</v>
      </c>
      <c r="CL3" s="299">
        <v>88</v>
      </c>
      <c r="CM3" s="300">
        <v>89</v>
      </c>
      <c r="CN3" s="300">
        <v>90</v>
      </c>
      <c r="CO3" s="299">
        <v>91</v>
      </c>
      <c r="CP3" s="300">
        <v>92</v>
      </c>
      <c r="CQ3" s="300">
        <v>93</v>
      </c>
      <c r="CR3" s="299">
        <v>94</v>
      </c>
      <c r="CS3" s="300">
        <v>95</v>
      </c>
      <c r="CT3" s="300">
        <v>96</v>
      </c>
      <c r="CU3" s="299">
        <v>97</v>
      </c>
      <c r="CV3" s="300">
        <v>98</v>
      </c>
      <c r="CW3" s="300">
        <v>99</v>
      </c>
      <c r="CX3" s="299">
        <v>100</v>
      </c>
      <c r="CY3" s="300">
        <v>101</v>
      </c>
      <c r="CZ3" s="300">
        <v>102</v>
      </c>
      <c r="DA3" s="299">
        <v>103</v>
      </c>
      <c r="DB3" s="300">
        <v>104</v>
      </c>
      <c r="DC3" s="300">
        <v>105</v>
      </c>
      <c r="DD3" s="299">
        <v>106</v>
      </c>
      <c r="DE3" s="300">
        <v>107</v>
      </c>
      <c r="DF3" s="300">
        <v>108</v>
      </c>
      <c r="DG3" s="299">
        <v>109</v>
      </c>
      <c r="DH3" s="300">
        <v>110</v>
      </c>
      <c r="DI3" s="300">
        <v>111</v>
      </c>
      <c r="DJ3" s="299">
        <v>112</v>
      </c>
      <c r="DK3" s="300">
        <v>113</v>
      </c>
      <c r="DL3" s="300">
        <v>114</v>
      </c>
      <c r="DM3" s="299">
        <v>115</v>
      </c>
      <c r="DN3" s="300">
        <v>116</v>
      </c>
      <c r="DO3" s="300">
        <v>117</v>
      </c>
      <c r="DP3" s="299">
        <v>118</v>
      </c>
      <c r="DQ3" s="300">
        <v>119</v>
      </c>
      <c r="DR3" s="300">
        <v>120</v>
      </c>
      <c r="DS3" s="299">
        <v>121</v>
      </c>
      <c r="DT3" s="300">
        <v>122</v>
      </c>
      <c r="DU3" s="300">
        <v>123</v>
      </c>
      <c r="DV3" s="299">
        <v>124</v>
      </c>
      <c r="DW3" s="300">
        <v>125</v>
      </c>
      <c r="DX3" s="300">
        <v>126</v>
      </c>
      <c r="DY3" s="299">
        <v>127</v>
      </c>
      <c r="DZ3" s="300">
        <v>128</v>
      </c>
      <c r="EA3" s="300">
        <v>129</v>
      </c>
      <c r="EB3" s="299">
        <v>130</v>
      </c>
      <c r="EC3" s="300">
        <v>131</v>
      </c>
      <c r="ED3" s="300">
        <v>132</v>
      </c>
      <c r="EE3" s="299">
        <v>133</v>
      </c>
      <c r="EF3" s="300">
        <v>134</v>
      </c>
      <c r="EG3" s="300">
        <v>135</v>
      </c>
      <c r="EH3" s="299">
        <v>136</v>
      </c>
      <c r="EI3" s="300">
        <v>137</v>
      </c>
      <c r="EJ3" s="300">
        <v>138</v>
      </c>
      <c r="EK3" s="299">
        <v>139</v>
      </c>
      <c r="EL3" s="300">
        <v>140</v>
      </c>
    </row>
    <row r="4" spans="1:142" s="135" customFormat="1" ht="12.75" customHeight="1">
      <c r="A4" s="301" t="s">
        <v>218</v>
      </c>
      <c r="B4" s="245"/>
      <c r="C4" s="301" t="s">
        <v>218</v>
      </c>
      <c r="D4"/>
      <c r="E4"/>
      <c r="F4"/>
      <c r="G4"/>
      <c r="H4"/>
      <c r="I4" t="s">
        <v>219</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s="282" t="s">
        <v>220</v>
      </c>
      <c r="BK4"/>
      <c r="BL4"/>
      <c r="BM4"/>
      <c r="BN4"/>
      <c r="BO4"/>
      <c r="BP4"/>
      <c r="BQ4"/>
      <c r="BR4"/>
      <c r="BS4"/>
      <c r="BT4"/>
      <c r="BU4" s="280" t="s">
        <v>221</v>
      </c>
      <c r="BV4"/>
      <c r="BW4"/>
      <c r="BX4"/>
      <c r="BY4"/>
      <c r="BZ4"/>
      <c r="CA4"/>
      <c r="CB4"/>
      <c r="CC4"/>
      <c r="CD4" s="130" t="s">
        <v>222</v>
      </c>
      <c r="CE4"/>
      <c r="CF4"/>
      <c r="CG4"/>
      <c r="CH4"/>
      <c r="CI4"/>
      <c r="CJ4" s="281" t="s">
        <v>223</v>
      </c>
      <c r="CK4"/>
      <c r="CL4"/>
      <c r="CM4"/>
      <c r="CN4"/>
      <c r="CO4"/>
      <c r="CP4"/>
      <c r="CQ4"/>
      <c r="CR4"/>
      <c r="CS4"/>
      <c r="CT4" s="279" t="s">
        <v>224</v>
      </c>
      <c r="CU4"/>
      <c r="CV4"/>
      <c r="CW4"/>
      <c r="CX4"/>
      <c r="CY4"/>
      <c r="CZ4"/>
      <c r="DA4"/>
      <c r="DB4"/>
      <c r="DC4" s="131" t="s">
        <v>225</v>
      </c>
      <c r="DD4"/>
      <c r="DE4"/>
      <c r="DF4"/>
      <c r="DG4"/>
      <c r="DH4"/>
      <c r="DI4"/>
      <c r="DJ4"/>
      <c r="DK4"/>
      <c r="DL4" s="132" t="s">
        <v>226</v>
      </c>
      <c r="DM4"/>
      <c r="DN4" s="133" t="s">
        <v>227</v>
      </c>
      <c r="DZ4" s="302"/>
      <c r="EA4" s="302"/>
      <c r="EH4" s="302"/>
    </row>
    <row r="5" spans="1:142" s="146" customFormat="1" ht="77.5">
      <c r="A5" s="303" t="s">
        <v>228</v>
      </c>
      <c r="B5" s="188" t="s">
        <v>214</v>
      </c>
      <c r="C5" s="303" t="s">
        <v>228</v>
      </c>
      <c r="D5" s="136" t="s">
        <v>229</v>
      </c>
      <c r="E5" s="136" t="s">
        <v>533</v>
      </c>
      <c r="F5" s="136" t="s">
        <v>231</v>
      </c>
      <c r="G5" s="136" t="s">
        <v>232</v>
      </c>
      <c r="H5" s="137" t="s">
        <v>233</v>
      </c>
      <c r="I5" s="137" t="s">
        <v>22</v>
      </c>
      <c r="J5" s="137" t="s">
        <v>234</v>
      </c>
      <c r="K5" s="137" t="s">
        <v>271</v>
      </c>
      <c r="L5" s="137" t="s">
        <v>26</v>
      </c>
      <c r="M5" s="137" t="s">
        <v>28</v>
      </c>
      <c r="N5" s="137" t="s">
        <v>235</v>
      </c>
      <c r="O5" s="137" t="s">
        <v>273</v>
      </c>
      <c r="P5" s="137" t="s">
        <v>272</v>
      </c>
      <c r="Q5" s="137" t="s">
        <v>32</v>
      </c>
      <c r="R5" s="137" t="s">
        <v>34</v>
      </c>
      <c r="S5" s="137" t="s">
        <v>36</v>
      </c>
      <c r="T5" s="137" t="s">
        <v>236</v>
      </c>
      <c r="U5" s="137" t="s">
        <v>40</v>
      </c>
      <c r="V5" s="137" t="s">
        <v>237</v>
      </c>
      <c r="W5" s="137" t="s">
        <v>280</v>
      </c>
      <c r="X5" s="137" t="s">
        <v>281</v>
      </c>
      <c r="Y5" s="137" t="s">
        <v>238</v>
      </c>
      <c r="Z5" s="137" t="s">
        <v>46</v>
      </c>
      <c r="AA5" s="137" t="s">
        <v>239</v>
      </c>
      <c r="AB5" s="137" t="s">
        <v>50</v>
      </c>
      <c r="AC5" s="137" t="s">
        <v>52</v>
      </c>
      <c r="AD5" s="137" t="s">
        <v>54</v>
      </c>
      <c r="AE5" s="137" t="s">
        <v>56</v>
      </c>
      <c r="AF5" s="137" t="s">
        <v>58</v>
      </c>
      <c r="AG5" s="137" t="s">
        <v>60</v>
      </c>
      <c r="AH5" s="137" t="s">
        <v>240</v>
      </c>
      <c r="AI5" s="137" t="s">
        <v>64</v>
      </c>
      <c r="AJ5" s="137" t="s">
        <v>66</v>
      </c>
      <c r="AK5" s="137" t="s">
        <v>68</v>
      </c>
      <c r="AL5" s="137" t="s">
        <v>70</v>
      </c>
      <c r="AM5" s="137" t="s">
        <v>72</v>
      </c>
      <c r="AN5" s="137" t="s">
        <v>74</v>
      </c>
      <c r="AO5" s="137" t="s">
        <v>76</v>
      </c>
      <c r="AP5" s="137" t="s">
        <v>78</v>
      </c>
      <c r="AQ5" s="137" t="s">
        <v>80</v>
      </c>
      <c r="AR5" s="137" t="s">
        <v>241</v>
      </c>
      <c r="AS5" s="137" t="s">
        <v>84</v>
      </c>
      <c r="AT5" s="137" t="s">
        <v>242</v>
      </c>
      <c r="AU5" s="137" t="s">
        <v>88</v>
      </c>
      <c r="AV5" s="137" t="s">
        <v>90</v>
      </c>
      <c r="AW5" s="137" t="s">
        <v>92</v>
      </c>
      <c r="AX5" s="137" t="s">
        <v>94</v>
      </c>
      <c r="AY5" s="137" t="s">
        <v>96</v>
      </c>
      <c r="AZ5" s="137" t="s">
        <v>98</v>
      </c>
      <c r="BA5" s="137" t="s">
        <v>286</v>
      </c>
      <c r="BB5" s="137" t="s">
        <v>287</v>
      </c>
      <c r="BC5" s="137" t="s">
        <v>100</v>
      </c>
      <c r="BD5" s="137" t="s">
        <v>102</v>
      </c>
      <c r="BE5" s="137" t="s">
        <v>243</v>
      </c>
      <c r="BF5" s="137" t="s">
        <v>244</v>
      </c>
      <c r="BG5" s="137" t="s">
        <v>245</v>
      </c>
      <c r="BH5" s="137" t="s">
        <v>246</v>
      </c>
      <c r="BI5" s="138" t="s">
        <v>247</v>
      </c>
      <c r="BJ5" s="138" t="s">
        <v>112</v>
      </c>
      <c r="BK5" s="138" t="s">
        <v>114</v>
      </c>
      <c r="BL5" s="138" t="s">
        <v>248</v>
      </c>
      <c r="BM5" s="138" t="s">
        <v>118</v>
      </c>
      <c r="BN5" s="138" t="s">
        <v>249</v>
      </c>
      <c r="BO5" s="138" t="s">
        <v>122</v>
      </c>
      <c r="BP5" s="138" t="s">
        <v>124</v>
      </c>
      <c r="BQ5" s="138" t="s">
        <v>250</v>
      </c>
      <c r="BR5" s="138" t="s">
        <v>251</v>
      </c>
      <c r="BS5" s="138" t="s">
        <v>252</v>
      </c>
      <c r="BT5" s="138" t="s">
        <v>253</v>
      </c>
      <c r="BU5" s="139" t="s">
        <v>254</v>
      </c>
      <c r="BV5" s="139" t="s">
        <v>134</v>
      </c>
      <c r="BW5" s="139" t="s">
        <v>255</v>
      </c>
      <c r="BX5" s="139" t="s">
        <v>138</v>
      </c>
      <c r="BY5" s="139" t="s">
        <v>140</v>
      </c>
      <c r="BZ5" s="139" t="s">
        <v>256</v>
      </c>
      <c r="CA5" s="139" t="s">
        <v>257</v>
      </c>
      <c r="CB5" s="139" t="s">
        <v>258</v>
      </c>
      <c r="CC5" s="139" t="s">
        <v>259</v>
      </c>
      <c r="CD5" s="130" t="s">
        <v>147</v>
      </c>
      <c r="CE5" s="130" t="s">
        <v>149</v>
      </c>
      <c r="CF5" s="130" t="s">
        <v>260</v>
      </c>
      <c r="CG5" s="130" t="s">
        <v>153</v>
      </c>
      <c r="CH5" s="130" t="s">
        <v>155</v>
      </c>
      <c r="CI5" s="130" t="s">
        <v>261</v>
      </c>
      <c r="CJ5" s="140" t="s">
        <v>262</v>
      </c>
      <c r="CK5" s="140" t="s">
        <v>263</v>
      </c>
      <c r="CL5" s="140" t="s">
        <v>264</v>
      </c>
      <c r="CM5" s="140" t="s">
        <v>165</v>
      </c>
      <c r="CN5" s="140" t="s">
        <v>166</v>
      </c>
      <c r="CO5" s="140" t="s">
        <v>803</v>
      </c>
      <c r="CP5" s="140" t="s">
        <v>804</v>
      </c>
      <c r="CQ5" s="140" t="s">
        <v>265</v>
      </c>
      <c r="CR5" s="140" t="s">
        <v>167</v>
      </c>
      <c r="CS5" s="140" t="s">
        <v>266</v>
      </c>
      <c r="CT5" s="141" t="s">
        <v>262</v>
      </c>
      <c r="CU5" s="141" t="s">
        <v>263</v>
      </c>
      <c r="CV5" s="141" t="s">
        <v>264</v>
      </c>
      <c r="CW5" s="141" t="s">
        <v>165</v>
      </c>
      <c r="CX5" s="141" t="s">
        <v>166</v>
      </c>
      <c r="CY5" s="141" t="s">
        <v>804</v>
      </c>
      <c r="CZ5" s="141" t="s">
        <v>265</v>
      </c>
      <c r="DA5" s="141" t="s">
        <v>167</v>
      </c>
      <c r="DB5" s="141" t="s">
        <v>266</v>
      </c>
      <c r="DC5" s="131" t="s">
        <v>755</v>
      </c>
      <c r="DD5" s="131" t="s">
        <v>756</v>
      </c>
      <c r="DE5" s="131" t="s">
        <v>805</v>
      </c>
      <c r="DF5" s="131" t="s">
        <v>806</v>
      </c>
      <c r="DG5" s="131" t="s">
        <v>759</v>
      </c>
      <c r="DH5" s="131" t="s">
        <v>760</v>
      </c>
      <c r="DI5" s="131" t="s">
        <v>807</v>
      </c>
      <c r="DJ5" s="131" t="s">
        <v>808</v>
      </c>
      <c r="DK5" s="131" t="s">
        <v>267</v>
      </c>
      <c r="DL5" s="142" t="s">
        <v>755</v>
      </c>
      <c r="DM5" s="142" t="s">
        <v>756</v>
      </c>
      <c r="DN5" s="143" t="s">
        <v>759</v>
      </c>
      <c r="DO5" s="143" t="s">
        <v>760</v>
      </c>
      <c r="DP5" s="144" t="s">
        <v>809</v>
      </c>
      <c r="DQ5" s="145" t="s">
        <v>269</v>
      </c>
      <c r="DR5" s="304" t="s">
        <v>810</v>
      </c>
      <c r="DS5" s="146" t="s">
        <v>811</v>
      </c>
      <c r="DT5" s="146" t="s">
        <v>812</v>
      </c>
      <c r="DU5" s="146" t="s">
        <v>813</v>
      </c>
      <c r="DV5" s="146" t="s">
        <v>814</v>
      </c>
      <c r="DW5" s="146" t="s">
        <v>815</v>
      </c>
      <c r="DZ5" s="305"/>
      <c r="EA5" s="305"/>
      <c r="ED5" s="304"/>
      <c r="EE5" s="304"/>
      <c r="EF5" s="146" t="s">
        <v>816</v>
      </c>
      <c r="EG5" s="146" t="s">
        <v>816</v>
      </c>
      <c r="EH5" s="305"/>
    </row>
    <row r="6" spans="1:142">
      <c r="A6" s="306">
        <v>1</v>
      </c>
      <c r="B6" s="190">
        <v>2</v>
      </c>
      <c r="C6" s="306">
        <v>3</v>
      </c>
      <c r="D6" s="190">
        <v>4</v>
      </c>
      <c r="E6" s="306">
        <v>5</v>
      </c>
      <c r="F6" s="190">
        <v>6</v>
      </c>
      <c r="G6" s="306">
        <v>7</v>
      </c>
      <c r="H6" s="190">
        <v>8</v>
      </c>
      <c r="I6" s="306">
        <v>9</v>
      </c>
      <c r="J6" s="190">
        <v>10</v>
      </c>
      <c r="K6" s="306">
        <v>11</v>
      </c>
      <c r="L6" s="190">
        <v>12</v>
      </c>
      <c r="M6" s="306">
        <v>13</v>
      </c>
      <c r="N6" s="190">
        <v>14</v>
      </c>
      <c r="O6" s="306">
        <v>15</v>
      </c>
      <c r="P6" s="190">
        <v>16</v>
      </c>
      <c r="Q6" s="306">
        <v>17</v>
      </c>
      <c r="R6" s="190">
        <v>18</v>
      </c>
      <c r="S6" s="306">
        <v>19</v>
      </c>
      <c r="T6" s="190">
        <v>20</v>
      </c>
      <c r="U6" s="306">
        <v>21</v>
      </c>
      <c r="V6" s="190">
        <v>22</v>
      </c>
      <c r="W6" s="306">
        <v>23</v>
      </c>
      <c r="X6" s="190">
        <v>24</v>
      </c>
      <c r="Y6" s="306">
        <v>25</v>
      </c>
      <c r="Z6" s="190">
        <v>26</v>
      </c>
      <c r="AA6" s="306">
        <v>27</v>
      </c>
      <c r="AB6" s="190">
        <v>28</v>
      </c>
      <c r="AC6" s="306">
        <v>29</v>
      </c>
      <c r="AD6" s="190">
        <v>30</v>
      </c>
      <c r="AE6" s="306">
        <v>31</v>
      </c>
      <c r="AF6" s="190">
        <v>32</v>
      </c>
      <c r="AG6" s="306">
        <v>33</v>
      </c>
      <c r="AH6" s="190">
        <v>34</v>
      </c>
      <c r="AI6" s="306">
        <v>35</v>
      </c>
      <c r="AJ6" s="190">
        <v>36</v>
      </c>
      <c r="AK6" s="306">
        <v>37</v>
      </c>
      <c r="AL6" s="190">
        <v>38</v>
      </c>
      <c r="AM6" s="306">
        <v>39</v>
      </c>
      <c r="AN6" s="190">
        <v>40</v>
      </c>
      <c r="AO6" s="306">
        <v>41</v>
      </c>
      <c r="AP6" s="190">
        <v>42</v>
      </c>
      <c r="AQ6" s="306">
        <v>43</v>
      </c>
      <c r="AR6" s="190">
        <v>44</v>
      </c>
      <c r="AS6" s="306">
        <v>45</v>
      </c>
      <c r="AT6" s="190">
        <v>46</v>
      </c>
      <c r="AU6" s="306">
        <v>47</v>
      </c>
      <c r="AV6" s="190">
        <v>48</v>
      </c>
      <c r="AW6" s="306">
        <v>49</v>
      </c>
      <c r="AX6" s="190">
        <v>50</v>
      </c>
      <c r="AY6" s="306">
        <v>51</v>
      </c>
      <c r="AZ6" s="190">
        <v>52</v>
      </c>
      <c r="BA6" s="306">
        <v>53</v>
      </c>
      <c r="BB6" s="190">
        <v>54</v>
      </c>
      <c r="BC6" s="306">
        <v>55</v>
      </c>
      <c r="BD6" s="190">
        <v>56</v>
      </c>
      <c r="BE6" s="306">
        <v>57</v>
      </c>
      <c r="BF6" s="190">
        <v>58</v>
      </c>
      <c r="BG6" s="306">
        <v>59</v>
      </c>
      <c r="BH6" s="190">
        <v>60</v>
      </c>
      <c r="BI6" s="306">
        <v>61</v>
      </c>
      <c r="BJ6" s="190">
        <v>62</v>
      </c>
      <c r="BK6" s="306">
        <v>63</v>
      </c>
      <c r="BL6" s="190">
        <v>64</v>
      </c>
      <c r="BM6" s="306">
        <v>65</v>
      </c>
      <c r="BN6" s="190">
        <v>66</v>
      </c>
      <c r="BO6" s="306">
        <v>67</v>
      </c>
      <c r="BP6" s="190">
        <v>68</v>
      </c>
      <c r="BQ6" s="306">
        <v>69</v>
      </c>
      <c r="BR6" s="190">
        <v>70</v>
      </c>
      <c r="BS6" s="306">
        <v>71</v>
      </c>
      <c r="BT6" s="190">
        <v>72</v>
      </c>
      <c r="BU6" s="306">
        <v>73</v>
      </c>
      <c r="BV6" s="190">
        <v>74</v>
      </c>
      <c r="BW6" s="306">
        <v>75</v>
      </c>
      <c r="BX6" s="190">
        <v>76</v>
      </c>
      <c r="BY6" s="306">
        <v>77</v>
      </c>
      <c r="BZ6" s="190">
        <v>78</v>
      </c>
      <c r="CA6" s="306">
        <v>79</v>
      </c>
      <c r="CB6" s="190">
        <v>80</v>
      </c>
      <c r="CC6" s="306">
        <v>81</v>
      </c>
      <c r="CD6" s="190">
        <v>82</v>
      </c>
      <c r="CE6" s="306">
        <v>83</v>
      </c>
      <c r="CF6" s="190">
        <v>84</v>
      </c>
      <c r="CG6" s="306">
        <v>85</v>
      </c>
      <c r="CH6" s="190">
        <v>86</v>
      </c>
      <c r="CI6" s="306">
        <v>87</v>
      </c>
      <c r="CJ6" s="190">
        <v>88</v>
      </c>
      <c r="CK6" s="306">
        <v>89</v>
      </c>
      <c r="CL6" s="190">
        <v>90</v>
      </c>
      <c r="CM6" s="306">
        <v>91</v>
      </c>
      <c r="CN6" s="190">
        <v>92</v>
      </c>
      <c r="CO6" s="306">
        <v>93</v>
      </c>
      <c r="CP6" s="190">
        <v>94</v>
      </c>
      <c r="CQ6" s="306">
        <v>95</v>
      </c>
      <c r="CR6" s="190">
        <v>96</v>
      </c>
      <c r="CS6" s="306">
        <v>97</v>
      </c>
      <c r="CT6" s="190">
        <v>98</v>
      </c>
      <c r="CU6" s="306">
        <v>99</v>
      </c>
      <c r="CV6" s="190">
        <v>100</v>
      </c>
      <c r="CW6" s="306">
        <v>101</v>
      </c>
      <c r="CX6" s="190">
        <v>102</v>
      </c>
      <c r="CY6" s="306">
        <v>103</v>
      </c>
      <c r="CZ6" s="190">
        <v>104</v>
      </c>
      <c r="DA6" s="306">
        <v>105</v>
      </c>
      <c r="DB6" s="190">
        <v>106</v>
      </c>
      <c r="DC6" s="306">
        <v>107</v>
      </c>
      <c r="DD6" s="190">
        <v>108</v>
      </c>
      <c r="DE6" s="306">
        <v>109</v>
      </c>
      <c r="DF6" s="190">
        <v>110</v>
      </c>
      <c r="DG6" s="306">
        <v>111</v>
      </c>
      <c r="DH6" s="190">
        <v>112</v>
      </c>
      <c r="DI6" s="306">
        <v>113</v>
      </c>
      <c r="DJ6" s="190">
        <v>114</v>
      </c>
      <c r="DK6" s="306">
        <v>115</v>
      </c>
      <c r="DL6" s="190">
        <v>116</v>
      </c>
      <c r="DM6" s="306">
        <v>117</v>
      </c>
      <c r="DN6" s="190">
        <v>118</v>
      </c>
      <c r="DO6" s="306">
        <v>119</v>
      </c>
      <c r="DP6" s="190">
        <v>120</v>
      </c>
      <c r="DQ6" s="306">
        <v>121</v>
      </c>
      <c r="DR6" s="190">
        <v>122</v>
      </c>
      <c r="DS6" s="306">
        <v>123</v>
      </c>
      <c r="DT6" s="190">
        <v>124</v>
      </c>
      <c r="DU6" s="306">
        <v>125</v>
      </c>
      <c r="DV6" s="190">
        <v>126</v>
      </c>
      <c r="DW6" s="306">
        <v>127</v>
      </c>
      <c r="DX6" s="190">
        <v>128</v>
      </c>
      <c r="DY6" s="306">
        <v>129</v>
      </c>
      <c r="DZ6" s="190">
        <v>130</v>
      </c>
      <c r="EA6" s="306">
        <v>131</v>
      </c>
      <c r="EB6" s="190">
        <v>132</v>
      </c>
      <c r="EC6" s="306">
        <v>133</v>
      </c>
      <c r="ED6" s="190">
        <v>134</v>
      </c>
      <c r="EE6" s="306">
        <v>135</v>
      </c>
      <c r="EF6" s="190">
        <v>136</v>
      </c>
    </row>
    <row r="7" spans="1:142">
      <c r="A7" s="159"/>
      <c r="B7" s="159"/>
      <c r="C7" s="159"/>
      <c r="D7" s="159" t="s">
        <v>229</v>
      </c>
      <c r="E7" s="159"/>
      <c r="F7" s="159" t="s">
        <v>231</v>
      </c>
      <c r="G7" s="159" t="s">
        <v>232</v>
      </c>
      <c r="H7" s="308" t="s">
        <v>19</v>
      </c>
      <c r="I7" s="308" t="s">
        <v>21</v>
      </c>
      <c r="J7" s="308" t="s">
        <v>23</v>
      </c>
      <c r="K7" s="308" t="s">
        <v>270</v>
      </c>
      <c r="L7" s="308" t="s">
        <v>25</v>
      </c>
      <c r="M7" s="308" t="s">
        <v>27</v>
      </c>
      <c r="N7" s="308" t="s">
        <v>29</v>
      </c>
      <c r="O7" s="308" t="s">
        <v>284</v>
      </c>
      <c r="P7" s="308" t="s">
        <v>285</v>
      </c>
      <c r="Q7" s="308" t="s">
        <v>31</v>
      </c>
      <c r="R7" s="308" t="s">
        <v>33</v>
      </c>
      <c r="S7" s="308" t="s">
        <v>35</v>
      </c>
      <c r="T7" s="308" t="s">
        <v>37</v>
      </c>
      <c r="U7" s="308" t="s">
        <v>39</v>
      </c>
      <c r="V7" s="308" t="s">
        <v>41</v>
      </c>
      <c r="W7" s="308" t="s">
        <v>276</v>
      </c>
      <c r="X7" s="308" t="s">
        <v>277</v>
      </c>
      <c r="Y7" s="308"/>
      <c r="Z7" s="308" t="s">
        <v>45</v>
      </c>
      <c r="AA7" s="308" t="s">
        <v>47</v>
      </c>
      <c r="AB7" s="308" t="s">
        <v>49</v>
      </c>
      <c r="AC7" s="308" t="s">
        <v>51</v>
      </c>
      <c r="AD7" s="308" t="s">
        <v>53</v>
      </c>
      <c r="AE7" s="308" t="s">
        <v>55</v>
      </c>
      <c r="AF7" s="308" t="s">
        <v>57</v>
      </c>
      <c r="AG7" s="308" t="s">
        <v>59</v>
      </c>
      <c r="AH7" s="308" t="s">
        <v>61</v>
      </c>
      <c r="AI7" s="308" t="s">
        <v>63</v>
      </c>
      <c r="AJ7" s="308" t="s">
        <v>65</v>
      </c>
      <c r="AK7" s="308" t="s">
        <v>67</v>
      </c>
      <c r="AL7" s="308" t="s">
        <v>69</v>
      </c>
      <c r="AM7" s="308" t="s">
        <v>71</v>
      </c>
      <c r="AN7" s="308" t="s">
        <v>73</v>
      </c>
      <c r="AO7" s="308" t="s">
        <v>75</v>
      </c>
      <c r="AP7" s="308" t="s">
        <v>77</v>
      </c>
      <c r="AQ7" s="308" t="s">
        <v>79</v>
      </c>
      <c r="AR7" s="308" t="s">
        <v>81</v>
      </c>
      <c r="AS7" s="308" t="s">
        <v>83</v>
      </c>
      <c r="AT7" s="308" t="s">
        <v>85</v>
      </c>
      <c r="AU7" s="308" t="s">
        <v>87</v>
      </c>
      <c r="AV7" s="308" t="s">
        <v>89</v>
      </c>
      <c r="AW7" s="308" t="s">
        <v>91</v>
      </c>
      <c r="AX7" s="308" t="s">
        <v>93</v>
      </c>
      <c r="AY7" s="308" t="s">
        <v>95</v>
      </c>
      <c r="AZ7" s="308" t="s">
        <v>97</v>
      </c>
      <c r="BA7" s="308" t="s">
        <v>282</v>
      </c>
      <c r="BB7" s="308" t="s">
        <v>283</v>
      </c>
      <c r="BC7" s="308" t="s">
        <v>99</v>
      </c>
      <c r="BD7" s="308" t="s">
        <v>101</v>
      </c>
      <c r="BE7" s="308"/>
      <c r="BF7" s="308"/>
      <c r="BG7" s="308"/>
      <c r="BH7" s="308"/>
      <c r="BI7" s="309" t="s">
        <v>109</v>
      </c>
      <c r="BJ7" s="309" t="s">
        <v>111</v>
      </c>
      <c r="BK7" s="309" t="s">
        <v>113</v>
      </c>
      <c r="BL7" s="309"/>
      <c r="BM7" s="309" t="s">
        <v>117</v>
      </c>
      <c r="BN7" s="309" t="s">
        <v>119</v>
      </c>
      <c r="BO7" s="309" t="s">
        <v>121</v>
      </c>
      <c r="BP7" s="309" t="s">
        <v>123</v>
      </c>
      <c r="BQ7" s="309"/>
      <c r="BR7" s="309"/>
      <c r="BS7" s="309"/>
      <c r="BT7" s="309"/>
      <c r="BU7" s="310" t="s">
        <v>131</v>
      </c>
      <c r="BV7" s="310" t="s">
        <v>133</v>
      </c>
      <c r="BW7" s="310"/>
      <c r="BX7" s="310" t="s">
        <v>137</v>
      </c>
      <c r="BY7" s="310" t="s">
        <v>139</v>
      </c>
      <c r="BZ7" s="310"/>
      <c r="CA7" s="310"/>
      <c r="CB7" s="310"/>
      <c r="CC7" s="310"/>
      <c r="CD7" s="311" t="s">
        <v>146</v>
      </c>
      <c r="CE7" s="311" t="s">
        <v>148</v>
      </c>
      <c r="CF7" s="311" t="s">
        <v>150</v>
      </c>
      <c r="CG7" s="311" t="s">
        <v>152</v>
      </c>
      <c r="CH7" s="311" t="s">
        <v>154</v>
      </c>
      <c r="CI7" s="311"/>
      <c r="CJ7" s="312"/>
      <c r="CK7" s="312"/>
      <c r="CL7" s="312"/>
      <c r="CM7" s="312"/>
      <c r="CN7" s="312"/>
      <c r="CO7" s="312"/>
      <c r="CP7" s="312"/>
      <c r="CQ7" s="312"/>
      <c r="CR7" s="312"/>
      <c r="CS7" s="312"/>
      <c r="CT7" s="313"/>
      <c r="CU7" s="313"/>
      <c r="CV7" s="313"/>
      <c r="CW7" s="313"/>
      <c r="CX7" s="313"/>
      <c r="CY7" s="313"/>
      <c r="CZ7" s="313"/>
      <c r="DA7" s="313"/>
      <c r="DB7" s="313"/>
      <c r="DC7" s="314"/>
      <c r="DD7" s="314"/>
      <c r="DE7" s="314"/>
      <c r="DF7" s="314"/>
      <c r="DG7" s="314"/>
      <c r="DH7" s="314"/>
      <c r="DI7" s="314"/>
      <c r="DJ7" s="314"/>
      <c r="DK7" s="314"/>
      <c r="DL7" s="315"/>
      <c r="DM7" s="315"/>
      <c r="DN7" s="316"/>
      <c r="DO7" s="316"/>
      <c r="DP7" s="317"/>
      <c r="DQ7" s="318"/>
    </row>
    <row r="8" spans="1:142">
      <c r="A8" s="319" t="s">
        <v>4</v>
      </c>
      <c r="B8" s="159" t="s">
        <v>1</v>
      </c>
      <c r="C8" s="319" t="s">
        <v>4</v>
      </c>
      <c r="D8" s="159"/>
      <c r="E8" s="159"/>
      <c r="F8" s="159"/>
      <c r="G8" s="159"/>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8"/>
      <c r="AL8" s="308"/>
      <c r="AM8" s="308"/>
      <c r="AN8" s="308"/>
      <c r="AO8" s="308"/>
      <c r="AP8" s="308"/>
      <c r="AQ8" s="308"/>
      <c r="AR8" s="308"/>
      <c r="AS8" s="308"/>
      <c r="AT8" s="308"/>
      <c r="AU8" s="308"/>
      <c r="AV8" s="308"/>
      <c r="AW8" s="308"/>
      <c r="AX8" s="308"/>
      <c r="AY8" s="308"/>
      <c r="AZ8" s="308"/>
      <c r="BA8" s="308"/>
      <c r="BB8" s="308"/>
      <c r="BC8" s="308"/>
      <c r="BD8" s="308"/>
      <c r="BE8" s="308"/>
      <c r="BF8" s="308"/>
      <c r="BG8" s="308"/>
      <c r="BH8" s="308"/>
      <c r="BI8" s="309"/>
      <c r="BJ8" s="309"/>
      <c r="BK8" s="309"/>
      <c r="BL8" s="309"/>
      <c r="BM8" s="309"/>
      <c r="BN8" s="309"/>
      <c r="BO8" s="309"/>
      <c r="BP8" s="309"/>
      <c r="BQ8" s="309"/>
      <c r="BR8" s="309"/>
      <c r="BS8" s="309"/>
      <c r="BT8" s="309"/>
      <c r="BU8" s="310"/>
      <c r="BV8" s="310"/>
      <c r="BW8" s="310"/>
      <c r="BX8" s="310"/>
      <c r="BY8" s="310"/>
      <c r="BZ8" s="310"/>
      <c r="CA8" s="310"/>
      <c r="CB8" s="310"/>
      <c r="CC8" s="310"/>
      <c r="CD8" s="311"/>
      <c r="CE8" s="311"/>
      <c r="CF8" s="311"/>
      <c r="CG8" s="311"/>
      <c r="CH8" s="311"/>
      <c r="CI8" s="311"/>
      <c r="CJ8" s="312"/>
      <c r="CK8" s="312"/>
      <c r="CL8" s="312"/>
      <c r="CM8" s="312"/>
      <c r="CN8" s="312"/>
      <c r="CO8" s="312"/>
      <c r="CP8" s="312"/>
      <c r="CQ8" s="312"/>
      <c r="CR8" s="312"/>
      <c r="CS8" s="312"/>
      <c r="CT8" s="313"/>
      <c r="CU8" s="313"/>
      <c r="CV8" s="313"/>
      <c r="CW8" s="313"/>
      <c r="CX8" s="313"/>
      <c r="CY8" s="313"/>
      <c r="CZ8" s="313"/>
      <c r="DA8" s="313"/>
      <c r="DB8" s="313"/>
      <c r="DC8" s="314"/>
      <c r="DD8" s="314"/>
      <c r="DE8" s="314"/>
      <c r="DF8" s="314"/>
      <c r="DG8" s="314"/>
      <c r="DH8" s="314"/>
      <c r="DI8" s="314"/>
      <c r="DJ8" s="314"/>
      <c r="DK8" s="314"/>
      <c r="DL8" s="315"/>
      <c r="DM8" s="315"/>
      <c r="DN8" s="316"/>
      <c r="DO8" s="316"/>
      <c r="DP8" s="317"/>
      <c r="DQ8" s="320"/>
    </row>
    <row r="9" spans="1:142">
      <c r="A9" s="321">
        <v>1027</v>
      </c>
      <c r="B9" s="322" t="s">
        <v>393</v>
      </c>
      <c r="C9" s="321">
        <v>1027</v>
      </c>
      <c r="D9" s="323" t="s">
        <v>817</v>
      </c>
      <c r="E9" s="323" t="s">
        <v>536</v>
      </c>
      <c r="F9" s="323" t="s">
        <v>818</v>
      </c>
      <c r="G9" s="323" t="s">
        <v>537</v>
      </c>
      <c r="H9" s="294">
        <v>697592.57</v>
      </c>
      <c r="I9" s="294">
        <v>0</v>
      </c>
      <c r="J9" s="294">
        <v>17066.25</v>
      </c>
      <c r="K9" s="294">
        <v>0</v>
      </c>
      <c r="L9" s="294">
        <v>0</v>
      </c>
      <c r="M9" s="294">
        <v>200</v>
      </c>
      <c r="N9" s="294">
        <v>0</v>
      </c>
      <c r="O9" s="294">
        <v>0</v>
      </c>
      <c r="P9" s="294">
        <v>69251.11</v>
      </c>
      <c r="Q9" s="294">
        <v>0</v>
      </c>
      <c r="R9" s="294">
        <v>0</v>
      </c>
      <c r="S9" s="294">
        <v>0</v>
      </c>
      <c r="T9" s="294">
        <v>1737</v>
      </c>
      <c r="U9" s="294">
        <v>39250</v>
      </c>
      <c r="V9" s="294">
        <v>0</v>
      </c>
      <c r="W9" s="294">
        <v>0</v>
      </c>
      <c r="X9" s="294">
        <v>0</v>
      </c>
      <c r="Y9" s="294">
        <v>825096.92999999993</v>
      </c>
      <c r="Z9" s="294">
        <v>221858.42999999982</v>
      </c>
      <c r="AA9" s="294">
        <v>0</v>
      </c>
      <c r="AB9" s="294">
        <v>367736.54</v>
      </c>
      <c r="AC9" s="294">
        <v>0</v>
      </c>
      <c r="AD9" s="294">
        <v>22459.16</v>
      </c>
      <c r="AE9" s="294">
        <v>0</v>
      </c>
      <c r="AF9" s="294">
        <v>0</v>
      </c>
      <c r="AG9" s="294">
        <v>28263.100000000006</v>
      </c>
      <c r="AH9" s="294">
        <v>3195.5599999999977</v>
      </c>
      <c r="AI9" s="294">
        <v>0</v>
      </c>
      <c r="AJ9" s="294">
        <v>0</v>
      </c>
      <c r="AK9" s="294">
        <v>6752.42</v>
      </c>
      <c r="AL9" s="294">
        <v>0</v>
      </c>
      <c r="AM9" s="294">
        <v>25171.41</v>
      </c>
      <c r="AN9" s="294">
        <v>2312.8399999999997</v>
      </c>
      <c r="AO9" s="294">
        <v>28908.690000000006</v>
      </c>
      <c r="AP9" s="294">
        <v>0</v>
      </c>
      <c r="AQ9" s="294">
        <v>8022.7299999999987</v>
      </c>
      <c r="AR9" s="294">
        <v>7961</v>
      </c>
      <c r="AS9" s="294">
        <v>98.93</v>
      </c>
      <c r="AT9" s="294">
        <v>176.06</v>
      </c>
      <c r="AU9" s="294">
        <v>5426.39</v>
      </c>
      <c r="AV9" s="294">
        <v>3291.75</v>
      </c>
      <c r="AW9" s="294">
        <v>0</v>
      </c>
      <c r="AX9" s="294">
        <v>2309.5</v>
      </c>
      <c r="AY9" s="294">
        <v>14805.5</v>
      </c>
      <c r="AZ9" s="294">
        <v>0</v>
      </c>
      <c r="BA9" s="294">
        <v>60813.37999999999</v>
      </c>
      <c r="BB9" s="294">
        <v>0</v>
      </c>
      <c r="BC9" s="294">
        <v>0</v>
      </c>
      <c r="BD9" s="294">
        <v>0</v>
      </c>
      <c r="BE9" s="294">
        <v>809563.39</v>
      </c>
      <c r="BF9" s="294">
        <v>296283.67000000004</v>
      </c>
      <c r="BG9" s="294">
        <v>15533.539999999901</v>
      </c>
      <c r="BH9" s="294">
        <v>311817.20999999996</v>
      </c>
      <c r="BI9" s="294">
        <v>5012.5</v>
      </c>
      <c r="BJ9" s="294">
        <v>0</v>
      </c>
      <c r="BK9" s="294">
        <v>0</v>
      </c>
      <c r="BL9" s="294">
        <v>5012.5</v>
      </c>
      <c r="BM9" s="294">
        <v>0</v>
      </c>
      <c r="BN9" s="294">
        <v>0</v>
      </c>
      <c r="BO9" s="294">
        <v>0</v>
      </c>
      <c r="BP9" s="294">
        <v>867.23</v>
      </c>
      <c r="BQ9" s="294">
        <v>867.23</v>
      </c>
      <c r="BR9" s="294">
        <v>0</v>
      </c>
      <c r="BS9" s="294">
        <v>4145.2700000000004</v>
      </c>
      <c r="BT9" s="294">
        <v>4145.2700000000004</v>
      </c>
      <c r="BU9" s="294">
        <v>0</v>
      </c>
      <c r="BV9" s="294">
        <v>0</v>
      </c>
      <c r="BW9" s="294">
        <v>0</v>
      </c>
      <c r="BX9" s="294">
        <v>0</v>
      </c>
      <c r="BY9" s="294">
        <v>0</v>
      </c>
      <c r="BZ9" s="294">
        <v>0</v>
      </c>
      <c r="CA9" s="294">
        <v>0</v>
      </c>
      <c r="CB9" s="294">
        <v>0</v>
      </c>
      <c r="CC9" s="294">
        <v>0</v>
      </c>
      <c r="CD9" s="294">
        <v>311817.21000000002</v>
      </c>
      <c r="CE9" s="294">
        <v>0</v>
      </c>
      <c r="CF9" s="294">
        <v>4145.2700000000004</v>
      </c>
      <c r="CG9" s="294">
        <v>0</v>
      </c>
      <c r="CH9" s="294">
        <v>0</v>
      </c>
      <c r="CI9" s="294">
        <f>SUM(CD9:CF9)</f>
        <v>315962.48000000004</v>
      </c>
      <c r="CJ9" s="294">
        <v>369020.93</v>
      </c>
      <c r="CK9" s="294">
        <v>0</v>
      </c>
      <c r="CL9" s="294">
        <v>0</v>
      </c>
      <c r="CM9" s="294">
        <v>369020.93</v>
      </c>
      <c r="CN9" s="294">
        <v>0</v>
      </c>
      <c r="CO9" s="294">
        <v>0</v>
      </c>
      <c r="CP9" s="294">
        <v>0</v>
      </c>
      <c r="CQ9" s="294">
        <v>0</v>
      </c>
      <c r="CR9" s="294">
        <v>-55197.98</v>
      </c>
      <c r="CS9" s="294">
        <v>313822.95</v>
      </c>
      <c r="CT9" s="294">
        <v>0</v>
      </c>
      <c r="CU9" s="294">
        <v>0</v>
      </c>
      <c r="CV9" s="294">
        <v>0</v>
      </c>
      <c r="CW9" s="294">
        <v>0</v>
      </c>
      <c r="CX9" s="294"/>
      <c r="CY9" s="294"/>
      <c r="CZ9" s="294"/>
      <c r="DA9" s="294">
        <v>0</v>
      </c>
      <c r="DB9" s="294">
        <v>0</v>
      </c>
      <c r="DC9" s="294">
        <v>0</v>
      </c>
      <c r="DD9" s="294">
        <v>6889.2</v>
      </c>
      <c r="DE9" s="294">
        <v>0</v>
      </c>
      <c r="DF9" s="294">
        <v>0</v>
      </c>
      <c r="DG9" s="294">
        <v>-4749.68</v>
      </c>
      <c r="DH9" s="294">
        <v>0</v>
      </c>
      <c r="DI9" s="294">
        <v>0</v>
      </c>
      <c r="DJ9" s="294">
        <v>0</v>
      </c>
      <c r="DK9" s="294">
        <v>2139.5199999999995</v>
      </c>
      <c r="DL9" s="294">
        <v>0</v>
      </c>
      <c r="DM9" s="294">
        <v>0</v>
      </c>
      <c r="DN9" s="294">
        <v>0</v>
      </c>
      <c r="DO9" s="294">
        <v>0</v>
      </c>
      <c r="DP9" s="294">
        <v>0</v>
      </c>
      <c r="DQ9" s="324">
        <v>1.0000000009313226E-2</v>
      </c>
      <c r="DR9" s="295">
        <v>640317.22999999975</v>
      </c>
      <c r="DS9" s="325">
        <v>169246.16000000027</v>
      </c>
      <c r="DT9" s="295">
        <v>14805.5</v>
      </c>
      <c r="DU9" s="295">
        <v>70988.11</v>
      </c>
      <c r="DV9" s="295">
        <v>39250</v>
      </c>
      <c r="DW9" s="295">
        <v>0</v>
      </c>
    </row>
    <row r="10" spans="1:142">
      <c r="A10" s="321">
        <v>2010</v>
      </c>
      <c r="B10" s="322" t="s">
        <v>391</v>
      </c>
      <c r="C10" s="321">
        <v>2010</v>
      </c>
      <c r="D10" s="323" t="s">
        <v>817</v>
      </c>
      <c r="E10" s="323" t="s">
        <v>539</v>
      </c>
      <c r="F10" s="323" t="s">
        <v>818</v>
      </c>
      <c r="G10" s="323" t="s">
        <v>537</v>
      </c>
      <c r="H10" s="294">
        <v>2630113.11</v>
      </c>
      <c r="I10" s="294">
        <v>0</v>
      </c>
      <c r="J10" s="294">
        <v>11616.99</v>
      </c>
      <c r="K10" s="294">
        <v>0</v>
      </c>
      <c r="L10" s="294">
        <v>334480</v>
      </c>
      <c r="M10" s="294">
        <v>6742.08</v>
      </c>
      <c r="N10" s="294">
        <v>0</v>
      </c>
      <c r="O10" s="294">
        <v>0</v>
      </c>
      <c r="P10" s="294">
        <v>820.32</v>
      </c>
      <c r="Q10" s="294">
        <v>20622.87</v>
      </c>
      <c r="R10" s="294">
        <v>0</v>
      </c>
      <c r="S10" s="294">
        <v>0</v>
      </c>
      <c r="T10" s="294">
        <v>11899</v>
      </c>
      <c r="U10" s="294">
        <v>21978.1</v>
      </c>
      <c r="V10" s="294">
        <v>0</v>
      </c>
      <c r="W10" s="294">
        <v>6005.0300000000007</v>
      </c>
      <c r="X10" s="294">
        <v>57331</v>
      </c>
      <c r="Y10" s="294">
        <v>3101608.5</v>
      </c>
      <c r="Z10" s="294">
        <v>1282206.68</v>
      </c>
      <c r="AA10" s="294">
        <v>2560.54</v>
      </c>
      <c r="AB10" s="294">
        <v>395940.15</v>
      </c>
      <c r="AC10" s="294">
        <v>121143.22</v>
      </c>
      <c r="AD10" s="294">
        <v>142816.9</v>
      </c>
      <c r="AE10" s="294">
        <v>57307.43</v>
      </c>
      <c r="AF10" s="294">
        <v>42773.96</v>
      </c>
      <c r="AG10" s="294">
        <v>10241</v>
      </c>
      <c r="AH10" s="294">
        <v>6384.79</v>
      </c>
      <c r="AI10" s="294">
        <v>0</v>
      </c>
      <c r="AJ10" s="294">
        <v>75</v>
      </c>
      <c r="AK10" s="294">
        <v>44492.23</v>
      </c>
      <c r="AL10" s="294">
        <v>974.91</v>
      </c>
      <c r="AM10" s="294">
        <v>3014.6</v>
      </c>
      <c r="AN10" s="294">
        <v>7704.01</v>
      </c>
      <c r="AO10" s="294">
        <v>54723.09</v>
      </c>
      <c r="AP10" s="294">
        <v>47169.72</v>
      </c>
      <c r="AQ10" s="294">
        <v>34374.050000000003</v>
      </c>
      <c r="AR10" s="294">
        <v>92880.26</v>
      </c>
      <c r="AS10" s="294">
        <v>49455.67</v>
      </c>
      <c r="AT10" s="294">
        <v>0</v>
      </c>
      <c r="AU10" s="294">
        <v>64784.88</v>
      </c>
      <c r="AV10" s="294">
        <v>12472.58</v>
      </c>
      <c r="AW10" s="294">
        <v>4215</v>
      </c>
      <c r="AX10" s="294">
        <v>120875.41</v>
      </c>
      <c r="AY10" s="294">
        <v>164661.14000000001</v>
      </c>
      <c r="AZ10" s="294">
        <v>16318.03</v>
      </c>
      <c r="BA10" s="294">
        <v>253279.09</v>
      </c>
      <c r="BB10" s="294">
        <v>0</v>
      </c>
      <c r="BC10" s="294">
        <v>-263</v>
      </c>
      <c r="BD10" s="294">
        <v>0</v>
      </c>
      <c r="BE10" s="294">
        <v>3032581.3399999994</v>
      </c>
      <c r="BF10" s="294">
        <v>474610.50999999896</v>
      </c>
      <c r="BG10" s="294">
        <v>69027.160000000615</v>
      </c>
      <c r="BH10" s="294">
        <v>543637.66999999958</v>
      </c>
      <c r="BI10" s="294">
        <v>9096.25</v>
      </c>
      <c r="BJ10" s="294">
        <v>0</v>
      </c>
      <c r="BK10" s="294">
        <v>0</v>
      </c>
      <c r="BL10" s="294">
        <v>9096.25</v>
      </c>
      <c r="BM10" s="294">
        <v>0</v>
      </c>
      <c r="BN10" s="294">
        <v>0</v>
      </c>
      <c r="BO10" s="294">
        <v>711.09</v>
      </c>
      <c r="BP10" s="294">
        <v>0</v>
      </c>
      <c r="BQ10" s="294">
        <v>711.09</v>
      </c>
      <c r="BR10" s="294">
        <v>137592.71</v>
      </c>
      <c r="BS10" s="294">
        <v>8385.16</v>
      </c>
      <c r="BT10" s="294">
        <v>145977.87</v>
      </c>
      <c r="BU10" s="294">
        <v>0</v>
      </c>
      <c r="BV10" s="294">
        <v>0</v>
      </c>
      <c r="BW10" s="294">
        <v>0</v>
      </c>
      <c r="BX10" s="294">
        <v>0</v>
      </c>
      <c r="BY10" s="294">
        <v>0</v>
      </c>
      <c r="BZ10" s="294">
        <v>0</v>
      </c>
      <c r="CA10" s="294">
        <v>0</v>
      </c>
      <c r="CB10" s="294">
        <v>0</v>
      </c>
      <c r="CC10" s="294">
        <v>0</v>
      </c>
      <c r="CD10" s="294">
        <v>543637.66999999958</v>
      </c>
      <c r="CE10" s="294">
        <v>0</v>
      </c>
      <c r="CF10" s="294">
        <v>145977.87</v>
      </c>
      <c r="CG10" s="294">
        <v>0</v>
      </c>
      <c r="CH10" s="294">
        <v>0</v>
      </c>
      <c r="CI10" s="294">
        <f t="shared" ref="CI10:CI73" si="0">SUM(CD10:CF10)</f>
        <v>689615.53999999957</v>
      </c>
      <c r="CJ10" s="294">
        <v>1033394.35</v>
      </c>
      <c r="CK10" s="294">
        <v>211520.79</v>
      </c>
      <c r="CL10" s="294">
        <v>10423.700000000001</v>
      </c>
      <c r="CM10" s="294">
        <v>832297.25999999989</v>
      </c>
      <c r="CN10" s="294">
        <v>0</v>
      </c>
      <c r="CO10" s="294">
        <v>0</v>
      </c>
      <c r="CP10" s="294">
        <v>16746.87</v>
      </c>
      <c r="CQ10" s="294">
        <v>8270.6299999999992</v>
      </c>
      <c r="CR10" s="294">
        <v>2222.96</v>
      </c>
      <c r="CS10" s="294">
        <v>859537.71999999986</v>
      </c>
      <c r="CT10" s="294">
        <v>0</v>
      </c>
      <c r="CU10" s="294">
        <v>0</v>
      </c>
      <c r="CV10" s="294">
        <v>0</v>
      </c>
      <c r="CW10" s="294">
        <v>0</v>
      </c>
      <c r="CX10" s="294"/>
      <c r="CY10" s="294"/>
      <c r="CZ10" s="294"/>
      <c r="DA10" s="294">
        <v>0</v>
      </c>
      <c r="DB10" s="294">
        <v>0</v>
      </c>
      <c r="DC10" s="294">
        <v>0</v>
      </c>
      <c r="DD10" s="294">
        <v>0</v>
      </c>
      <c r="DE10" s="294">
        <v>0</v>
      </c>
      <c r="DF10" s="294">
        <v>0</v>
      </c>
      <c r="DG10" s="294">
        <v>-45128.63</v>
      </c>
      <c r="DH10" s="294">
        <v>-124794</v>
      </c>
      <c r="DI10" s="294">
        <v>0</v>
      </c>
      <c r="DJ10" s="294">
        <v>0</v>
      </c>
      <c r="DK10" s="294">
        <v>-169922.63</v>
      </c>
      <c r="DL10" s="294">
        <v>0</v>
      </c>
      <c r="DM10" s="294">
        <v>0</v>
      </c>
      <c r="DN10" s="294">
        <v>0</v>
      </c>
      <c r="DO10" s="294">
        <v>0</v>
      </c>
      <c r="DP10" s="294">
        <v>0</v>
      </c>
      <c r="DQ10" s="324">
        <v>0.45000000018626451</v>
      </c>
      <c r="DR10" s="295">
        <v>2054989.88</v>
      </c>
      <c r="DS10" s="325">
        <v>977591.4599999995</v>
      </c>
      <c r="DT10" s="295">
        <v>164661.14000000001</v>
      </c>
      <c r="DU10" s="295">
        <v>33342.19</v>
      </c>
      <c r="DV10" s="295">
        <v>21978.1</v>
      </c>
      <c r="DW10" s="295">
        <v>0</v>
      </c>
    </row>
    <row r="11" spans="1:142">
      <c r="A11" s="321">
        <v>5949</v>
      </c>
      <c r="B11" s="322" t="s">
        <v>395</v>
      </c>
      <c r="C11" s="321">
        <v>5949</v>
      </c>
      <c r="D11" s="323" t="s">
        <v>817</v>
      </c>
      <c r="E11" s="323" t="s">
        <v>539</v>
      </c>
      <c r="F11" s="323" t="s">
        <v>818</v>
      </c>
      <c r="G11" s="323" t="s">
        <v>537</v>
      </c>
      <c r="H11" s="294">
        <v>3485110.99</v>
      </c>
      <c r="I11" s="294">
        <v>0</v>
      </c>
      <c r="J11" s="294">
        <v>112370.03</v>
      </c>
      <c r="K11" s="294">
        <v>0</v>
      </c>
      <c r="L11" s="294">
        <v>342970</v>
      </c>
      <c r="M11" s="294">
        <v>5942.57</v>
      </c>
      <c r="N11" s="294">
        <v>0</v>
      </c>
      <c r="O11" s="294">
        <v>0</v>
      </c>
      <c r="P11" s="294">
        <v>68788.33</v>
      </c>
      <c r="Q11" s="294">
        <v>0</v>
      </c>
      <c r="R11" s="294">
        <v>0</v>
      </c>
      <c r="S11" s="294">
        <v>0</v>
      </c>
      <c r="T11" s="294">
        <v>17876.530000000006</v>
      </c>
      <c r="U11" s="294">
        <v>0</v>
      </c>
      <c r="V11" s="294">
        <v>0</v>
      </c>
      <c r="W11" s="294">
        <v>5246.25</v>
      </c>
      <c r="X11" s="294">
        <v>113795</v>
      </c>
      <c r="Y11" s="294">
        <v>4152099.6999999997</v>
      </c>
      <c r="Z11" s="294">
        <v>2034583.359999992</v>
      </c>
      <c r="AA11" s="294">
        <v>1885.1399999999996</v>
      </c>
      <c r="AB11" s="294">
        <v>357549.6</v>
      </c>
      <c r="AC11" s="294">
        <v>36098.210000002175</v>
      </c>
      <c r="AD11" s="294">
        <v>375181.16000000003</v>
      </c>
      <c r="AE11" s="294">
        <v>0</v>
      </c>
      <c r="AF11" s="294">
        <v>98179.789999999979</v>
      </c>
      <c r="AG11" s="294">
        <v>-8750.1800000000039</v>
      </c>
      <c r="AH11" s="294">
        <v>4472.33</v>
      </c>
      <c r="AI11" s="294">
        <v>0</v>
      </c>
      <c r="AJ11" s="294">
        <v>0</v>
      </c>
      <c r="AK11" s="294">
        <v>47470.98</v>
      </c>
      <c r="AL11" s="294">
        <v>853.40000000000009</v>
      </c>
      <c r="AM11" s="294">
        <v>50491.91</v>
      </c>
      <c r="AN11" s="294">
        <v>28487.07</v>
      </c>
      <c r="AO11" s="294">
        <v>72376.02</v>
      </c>
      <c r="AP11" s="294">
        <v>69242.7</v>
      </c>
      <c r="AQ11" s="294">
        <v>12261.94</v>
      </c>
      <c r="AR11" s="294">
        <v>363551.1</v>
      </c>
      <c r="AS11" s="294">
        <v>15584.68</v>
      </c>
      <c r="AT11" s="294">
        <v>0</v>
      </c>
      <c r="AU11" s="294">
        <v>25063.600000000017</v>
      </c>
      <c r="AV11" s="294">
        <v>18745.650000000001</v>
      </c>
      <c r="AW11" s="294">
        <v>2660</v>
      </c>
      <c r="AX11" s="294">
        <v>132051.19</v>
      </c>
      <c r="AY11" s="294">
        <v>47075.11</v>
      </c>
      <c r="AZ11" s="294">
        <v>15718.89</v>
      </c>
      <c r="BA11" s="294">
        <v>188419.08000000002</v>
      </c>
      <c r="BB11" s="294">
        <v>0</v>
      </c>
      <c r="BC11" s="294">
        <v>0</v>
      </c>
      <c r="BD11" s="294">
        <v>0</v>
      </c>
      <c r="BE11" s="294">
        <v>3989252.7299999944</v>
      </c>
      <c r="BF11" s="294">
        <v>873921.37000000034</v>
      </c>
      <c r="BG11" s="294">
        <v>162846.97000000533</v>
      </c>
      <c r="BH11" s="294">
        <v>1036768.3400000057</v>
      </c>
      <c r="BI11" s="294">
        <v>11065</v>
      </c>
      <c r="BJ11" s="294">
        <v>0</v>
      </c>
      <c r="BK11" s="294">
        <v>0</v>
      </c>
      <c r="BL11" s="294">
        <v>11065</v>
      </c>
      <c r="BM11" s="294">
        <v>0</v>
      </c>
      <c r="BN11" s="294">
        <v>0</v>
      </c>
      <c r="BO11" s="294">
        <v>0</v>
      </c>
      <c r="BP11" s="294">
        <v>0</v>
      </c>
      <c r="BQ11" s="294">
        <v>0</v>
      </c>
      <c r="BR11" s="294">
        <v>0</v>
      </c>
      <c r="BS11" s="294">
        <v>11065</v>
      </c>
      <c r="BT11" s="294">
        <v>11065</v>
      </c>
      <c r="BU11" s="294">
        <v>0</v>
      </c>
      <c r="BV11" s="294">
        <v>0</v>
      </c>
      <c r="BW11" s="294">
        <v>0</v>
      </c>
      <c r="BX11" s="294">
        <v>0</v>
      </c>
      <c r="BY11" s="294">
        <v>0</v>
      </c>
      <c r="BZ11" s="294">
        <v>0</v>
      </c>
      <c r="CA11" s="294">
        <v>0</v>
      </c>
      <c r="CB11" s="294">
        <v>0</v>
      </c>
      <c r="CC11" s="294">
        <v>0</v>
      </c>
      <c r="CD11" s="294">
        <v>1036768.3400000057</v>
      </c>
      <c r="CE11" s="294">
        <v>0</v>
      </c>
      <c r="CF11" s="294">
        <v>11065</v>
      </c>
      <c r="CG11" s="294">
        <v>0</v>
      </c>
      <c r="CH11" s="294">
        <v>0</v>
      </c>
      <c r="CI11" s="294">
        <f t="shared" si="0"/>
        <v>1047833.3400000057</v>
      </c>
      <c r="CJ11" s="294">
        <v>1341697.04</v>
      </c>
      <c r="CK11" s="294">
        <v>0</v>
      </c>
      <c r="CL11" s="294">
        <v>0</v>
      </c>
      <c r="CM11" s="294">
        <v>1341697.04</v>
      </c>
      <c r="CN11" s="294">
        <v>3000</v>
      </c>
      <c r="CO11" s="294">
        <v>0</v>
      </c>
      <c r="CP11" s="294">
        <v>8043.92</v>
      </c>
      <c r="CQ11" s="294">
        <v>0</v>
      </c>
      <c r="CR11" s="294">
        <v>-260674.29</v>
      </c>
      <c r="CS11" s="294">
        <v>1092066.67</v>
      </c>
      <c r="CT11" s="294">
        <v>0</v>
      </c>
      <c r="CU11" s="294">
        <v>0</v>
      </c>
      <c r="CV11" s="294">
        <v>0</v>
      </c>
      <c r="CW11" s="294">
        <v>0</v>
      </c>
      <c r="CX11" s="294"/>
      <c r="CY11" s="294"/>
      <c r="CZ11" s="294"/>
      <c r="DA11" s="294">
        <v>0</v>
      </c>
      <c r="DB11" s="294">
        <v>0</v>
      </c>
      <c r="DC11" s="294">
        <v>0</v>
      </c>
      <c r="DD11" s="294">
        <v>25994.62</v>
      </c>
      <c r="DE11" s="294">
        <v>0</v>
      </c>
      <c r="DF11" s="294">
        <v>0</v>
      </c>
      <c r="DG11" s="294">
        <v>-70227.88</v>
      </c>
      <c r="DH11" s="294">
        <v>0</v>
      </c>
      <c r="DI11" s="294">
        <v>0</v>
      </c>
      <c r="DJ11" s="294">
        <v>0</v>
      </c>
      <c r="DK11" s="294">
        <v>-44233.260000000009</v>
      </c>
      <c r="DL11" s="294">
        <v>0</v>
      </c>
      <c r="DM11" s="294">
        <v>0</v>
      </c>
      <c r="DN11" s="294">
        <v>0</v>
      </c>
      <c r="DO11" s="294">
        <v>0</v>
      </c>
      <c r="DP11" s="294">
        <v>0</v>
      </c>
      <c r="DQ11" s="324"/>
      <c r="DR11" s="295">
        <v>2894727.079999994</v>
      </c>
      <c r="DS11" s="325">
        <v>1094525.6500000004</v>
      </c>
      <c r="DT11" s="295">
        <v>47075.11</v>
      </c>
      <c r="DU11" s="295">
        <v>86664.860000000015</v>
      </c>
      <c r="DV11" s="295">
        <v>0</v>
      </c>
      <c r="DW11" s="295">
        <v>0</v>
      </c>
    </row>
    <row r="12" spans="1:142">
      <c r="A12" s="321">
        <v>1017</v>
      </c>
      <c r="B12" s="322" t="s">
        <v>331</v>
      </c>
      <c r="C12" s="321">
        <v>1017</v>
      </c>
      <c r="D12" s="323" t="s">
        <v>817</v>
      </c>
      <c r="E12" s="323" t="s">
        <v>536</v>
      </c>
      <c r="F12" s="323" t="s">
        <v>818</v>
      </c>
      <c r="G12" s="323" t="s">
        <v>537</v>
      </c>
      <c r="H12" s="294">
        <v>1078548.33</v>
      </c>
      <c r="I12" s="294">
        <v>0</v>
      </c>
      <c r="J12" s="294">
        <v>158373.15</v>
      </c>
      <c r="K12" s="294">
        <v>0</v>
      </c>
      <c r="L12" s="294">
        <v>0</v>
      </c>
      <c r="M12" s="294">
        <v>0</v>
      </c>
      <c r="N12" s="294">
        <v>0</v>
      </c>
      <c r="O12" s="294">
        <v>31243.84</v>
      </c>
      <c r="P12" s="294">
        <v>535406.88</v>
      </c>
      <c r="Q12" s="294">
        <v>8086.01</v>
      </c>
      <c r="R12" s="294">
        <v>0</v>
      </c>
      <c r="S12" s="294">
        <v>0</v>
      </c>
      <c r="T12" s="294">
        <v>0</v>
      </c>
      <c r="U12" s="294">
        <v>93799.14</v>
      </c>
      <c r="V12" s="294">
        <v>0</v>
      </c>
      <c r="W12" s="294">
        <v>0</v>
      </c>
      <c r="X12" s="294">
        <v>0</v>
      </c>
      <c r="Y12" s="294">
        <v>1905457.35</v>
      </c>
      <c r="Z12" s="294">
        <v>242096.28</v>
      </c>
      <c r="AA12" s="294">
        <v>0</v>
      </c>
      <c r="AB12" s="294">
        <v>502377.53</v>
      </c>
      <c r="AC12" s="294">
        <v>0</v>
      </c>
      <c r="AD12" s="294">
        <v>133556.24</v>
      </c>
      <c r="AE12" s="294">
        <v>0</v>
      </c>
      <c r="AF12" s="294">
        <v>76441.350000000006</v>
      </c>
      <c r="AG12" s="294">
        <v>903</v>
      </c>
      <c r="AH12" s="294">
        <v>4715.3</v>
      </c>
      <c r="AI12" s="294">
        <v>0</v>
      </c>
      <c r="AJ12" s="294">
        <v>0</v>
      </c>
      <c r="AK12" s="294">
        <v>12435.82</v>
      </c>
      <c r="AL12" s="294">
        <v>0</v>
      </c>
      <c r="AM12" s="294">
        <v>0</v>
      </c>
      <c r="AN12" s="294">
        <v>0</v>
      </c>
      <c r="AO12" s="294">
        <v>54670.479999999996</v>
      </c>
      <c r="AP12" s="294">
        <v>0</v>
      </c>
      <c r="AQ12" s="294">
        <v>-47.64</v>
      </c>
      <c r="AR12" s="294">
        <v>14710.289999999999</v>
      </c>
      <c r="AS12" s="294">
        <v>1144.26</v>
      </c>
      <c r="AT12" s="294">
        <v>0</v>
      </c>
      <c r="AU12" s="294">
        <v>22075.75</v>
      </c>
      <c r="AV12" s="294">
        <v>3291.75</v>
      </c>
      <c r="AW12" s="294">
        <v>0</v>
      </c>
      <c r="AX12" s="294">
        <v>19866.740000000002</v>
      </c>
      <c r="AY12" s="294">
        <v>121774.73999999999</v>
      </c>
      <c r="AZ12" s="294">
        <v>0</v>
      </c>
      <c r="BA12" s="294">
        <v>498353.54</v>
      </c>
      <c r="BB12" s="294">
        <v>95387.07</v>
      </c>
      <c r="BC12" s="294">
        <v>0</v>
      </c>
      <c r="BD12" s="294">
        <v>0</v>
      </c>
      <c r="BE12" s="294">
        <v>1803752.5000000002</v>
      </c>
      <c r="BF12" s="294">
        <v>-67939.030000000057</v>
      </c>
      <c r="BG12" s="294">
        <v>101704.84999999986</v>
      </c>
      <c r="BH12" s="294">
        <v>33765.819999999803</v>
      </c>
      <c r="BI12" s="294">
        <v>5375.87</v>
      </c>
      <c r="BJ12" s="294">
        <v>0</v>
      </c>
      <c r="BK12" s="294">
        <v>0</v>
      </c>
      <c r="BL12" s="294">
        <v>5375.87</v>
      </c>
      <c r="BM12" s="294">
        <v>0</v>
      </c>
      <c r="BN12" s="294">
        <v>0</v>
      </c>
      <c r="BO12" s="294">
        <v>0</v>
      </c>
      <c r="BP12" s="294">
        <v>0</v>
      </c>
      <c r="BQ12" s="294">
        <v>0</v>
      </c>
      <c r="BR12" s="294">
        <v>5867.3999999999951</v>
      </c>
      <c r="BS12" s="294">
        <v>5375.87</v>
      </c>
      <c r="BT12" s="294">
        <v>11243.269999999995</v>
      </c>
      <c r="BU12" s="294">
        <v>0</v>
      </c>
      <c r="BV12" s="294">
        <v>0</v>
      </c>
      <c r="BW12" s="294">
        <v>0</v>
      </c>
      <c r="BX12" s="294">
        <v>0</v>
      </c>
      <c r="BY12" s="294">
        <v>0</v>
      </c>
      <c r="BZ12" s="294">
        <v>0</v>
      </c>
      <c r="CA12" s="294">
        <v>0</v>
      </c>
      <c r="CB12" s="294">
        <v>0</v>
      </c>
      <c r="CC12" s="294">
        <v>0</v>
      </c>
      <c r="CD12" s="294">
        <v>33765.819999999803</v>
      </c>
      <c r="CE12" s="294">
        <v>0</v>
      </c>
      <c r="CF12" s="294">
        <v>11243.269999999995</v>
      </c>
      <c r="CG12" s="294">
        <v>0</v>
      </c>
      <c r="CH12" s="294">
        <v>0</v>
      </c>
      <c r="CI12" s="294">
        <f t="shared" si="0"/>
        <v>45009.0899999998</v>
      </c>
      <c r="CJ12" s="294">
        <v>207729.77</v>
      </c>
      <c r="CK12" s="294">
        <v>814.69</v>
      </c>
      <c r="CL12" s="294">
        <v>0</v>
      </c>
      <c r="CM12" s="294">
        <v>206915.08</v>
      </c>
      <c r="CN12" s="294">
        <v>0</v>
      </c>
      <c r="CO12" s="294">
        <v>0</v>
      </c>
      <c r="CP12" s="294">
        <v>2490.48</v>
      </c>
      <c r="CQ12" s="294">
        <v>37254.369999999995</v>
      </c>
      <c r="CR12" s="294">
        <v>0</v>
      </c>
      <c r="CS12" s="294">
        <v>246659.93</v>
      </c>
      <c r="CT12" s="294">
        <v>0</v>
      </c>
      <c r="CU12" s="294">
        <v>0</v>
      </c>
      <c r="CV12" s="294">
        <v>0</v>
      </c>
      <c r="CW12" s="294">
        <v>0</v>
      </c>
      <c r="CX12" s="294"/>
      <c r="CY12" s="294"/>
      <c r="CZ12" s="294"/>
      <c r="DA12" s="294">
        <v>0</v>
      </c>
      <c r="DB12" s="294">
        <v>0</v>
      </c>
      <c r="DC12" s="294">
        <v>0</v>
      </c>
      <c r="DD12" s="294">
        <v>102692.29999999999</v>
      </c>
      <c r="DE12" s="294">
        <v>0</v>
      </c>
      <c r="DF12" s="294">
        <v>0</v>
      </c>
      <c r="DG12" s="294">
        <v>0</v>
      </c>
      <c r="DH12" s="294">
        <v>-24900.63</v>
      </c>
      <c r="DI12" s="294">
        <v>0</v>
      </c>
      <c r="DJ12" s="294">
        <v>0</v>
      </c>
      <c r="DK12" s="294">
        <v>77791.669999999984</v>
      </c>
      <c r="DL12" s="294">
        <v>0</v>
      </c>
      <c r="DM12" s="294">
        <v>88100.73</v>
      </c>
      <c r="DN12" s="294">
        <v>-236</v>
      </c>
      <c r="DO12" s="294">
        <v>-367307.08</v>
      </c>
      <c r="DP12" s="294">
        <v>0</v>
      </c>
      <c r="DQ12" s="324">
        <v>-7.000000003608875E-2</v>
      </c>
      <c r="DR12" s="295">
        <v>955374.4</v>
      </c>
      <c r="DS12" s="325">
        <v>848378.10000000021</v>
      </c>
      <c r="DT12" s="295">
        <v>121774.73999999999</v>
      </c>
      <c r="DU12" s="295">
        <v>574736.73</v>
      </c>
      <c r="DV12" s="295">
        <v>93799.14</v>
      </c>
      <c r="DW12" s="295">
        <v>-279442.35000000003</v>
      </c>
    </row>
    <row r="13" spans="1:142">
      <c r="A13" s="326">
        <v>2153</v>
      </c>
      <c r="B13" s="327" t="s">
        <v>480</v>
      </c>
      <c r="C13" s="326">
        <v>2153</v>
      </c>
      <c r="D13" s="323" t="s">
        <v>817</v>
      </c>
      <c r="E13" s="323" t="s">
        <v>539</v>
      </c>
      <c r="F13" s="323" t="s">
        <v>818</v>
      </c>
      <c r="G13" s="323" t="s">
        <v>537</v>
      </c>
      <c r="H13" s="294">
        <v>2767744.81</v>
      </c>
      <c r="I13" s="294">
        <v>0</v>
      </c>
      <c r="J13" s="294">
        <v>469452.78</v>
      </c>
      <c r="K13" s="294">
        <v>0</v>
      </c>
      <c r="L13" s="294">
        <v>356550</v>
      </c>
      <c r="M13" s="294">
        <v>3000</v>
      </c>
      <c r="N13" s="294">
        <v>0</v>
      </c>
      <c r="O13" s="294">
        <v>0</v>
      </c>
      <c r="P13" s="294">
        <v>27980.58</v>
      </c>
      <c r="Q13" s="294">
        <v>40.799999999999997</v>
      </c>
      <c r="R13" s="294">
        <v>0</v>
      </c>
      <c r="S13" s="294">
        <v>0</v>
      </c>
      <c r="T13" s="294">
        <v>5360.7499999999964</v>
      </c>
      <c r="U13" s="294">
        <v>67425.960000000006</v>
      </c>
      <c r="V13" s="294">
        <v>0</v>
      </c>
      <c r="W13" s="294">
        <v>17816.8</v>
      </c>
      <c r="X13" s="294">
        <v>52288</v>
      </c>
      <c r="Y13" s="294">
        <v>3767660.4799999995</v>
      </c>
      <c r="Z13" s="294">
        <v>1420336.780000001</v>
      </c>
      <c r="AA13" s="294">
        <v>0</v>
      </c>
      <c r="AB13" s="294">
        <v>834979.19</v>
      </c>
      <c r="AC13" s="294">
        <v>0</v>
      </c>
      <c r="AD13" s="294">
        <v>215027.53</v>
      </c>
      <c r="AE13" s="294">
        <v>98449.06</v>
      </c>
      <c r="AF13" s="294">
        <v>136838.86000000057</v>
      </c>
      <c r="AG13" s="294">
        <v>11852.839999999938</v>
      </c>
      <c r="AH13" s="294">
        <v>12937.419999999998</v>
      </c>
      <c r="AI13" s="294">
        <v>0</v>
      </c>
      <c r="AJ13" s="294">
        <v>0</v>
      </c>
      <c r="AK13" s="294">
        <v>8273.2699999999895</v>
      </c>
      <c r="AL13" s="294">
        <v>3240</v>
      </c>
      <c r="AM13" s="294">
        <v>48471.48000000001</v>
      </c>
      <c r="AN13" s="294">
        <v>2758.38</v>
      </c>
      <c r="AO13" s="294">
        <v>45847.46</v>
      </c>
      <c r="AP13" s="294">
        <v>24708.45</v>
      </c>
      <c r="AQ13" s="294">
        <v>7256.7</v>
      </c>
      <c r="AR13" s="294">
        <v>59108.359999999986</v>
      </c>
      <c r="AS13" s="294">
        <v>36806.5</v>
      </c>
      <c r="AT13" s="294">
        <v>0</v>
      </c>
      <c r="AU13" s="294">
        <v>62088.359999999935</v>
      </c>
      <c r="AV13" s="294">
        <v>10529.2</v>
      </c>
      <c r="AW13" s="294">
        <v>0</v>
      </c>
      <c r="AX13" s="294">
        <v>81742.97000000003</v>
      </c>
      <c r="AY13" s="294">
        <v>162512.10000000003</v>
      </c>
      <c r="AZ13" s="294">
        <v>10378.98</v>
      </c>
      <c r="BA13" s="294">
        <v>349478.8299999999</v>
      </c>
      <c r="BB13" s="294">
        <v>155268.10999999999</v>
      </c>
      <c r="BC13" s="294">
        <v>0</v>
      </c>
      <c r="BD13" s="294">
        <v>0</v>
      </c>
      <c r="BE13" s="294">
        <v>3798890.830000001</v>
      </c>
      <c r="BF13" s="294">
        <v>489431.33000000019</v>
      </c>
      <c r="BG13" s="294">
        <v>-31230.35000000149</v>
      </c>
      <c r="BH13" s="294">
        <v>458200.9799999987</v>
      </c>
      <c r="BI13" s="294">
        <v>8691.25</v>
      </c>
      <c r="BJ13" s="294">
        <v>0</v>
      </c>
      <c r="BK13" s="294">
        <v>0</v>
      </c>
      <c r="BL13" s="294">
        <v>8691.25</v>
      </c>
      <c r="BM13" s="294">
        <v>0</v>
      </c>
      <c r="BN13" s="294">
        <v>0</v>
      </c>
      <c r="BO13" s="294">
        <v>0</v>
      </c>
      <c r="BP13" s="294">
        <v>0</v>
      </c>
      <c r="BQ13" s="294">
        <v>0</v>
      </c>
      <c r="BR13" s="294">
        <v>8511.25</v>
      </c>
      <c r="BS13" s="294">
        <v>8691.25</v>
      </c>
      <c r="BT13" s="294">
        <v>17202.5</v>
      </c>
      <c r="BU13" s="294">
        <v>0</v>
      </c>
      <c r="BV13" s="294">
        <v>0</v>
      </c>
      <c r="BW13" s="294">
        <v>0</v>
      </c>
      <c r="BX13" s="294">
        <v>0</v>
      </c>
      <c r="BY13" s="294">
        <v>0</v>
      </c>
      <c r="BZ13" s="294">
        <v>0</v>
      </c>
      <c r="CA13" s="294">
        <v>0</v>
      </c>
      <c r="CB13" s="294">
        <v>0</v>
      </c>
      <c r="CC13" s="294">
        <v>0</v>
      </c>
      <c r="CD13" s="294">
        <v>458200.9799999987</v>
      </c>
      <c r="CE13" s="294">
        <v>0</v>
      </c>
      <c r="CF13" s="294">
        <v>17202.5</v>
      </c>
      <c r="CG13" s="294">
        <v>0</v>
      </c>
      <c r="CH13" s="294">
        <v>0</v>
      </c>
      <c r="CI13" s="294">
        <f t="shared" si="0"/>
        <v>475403.4799999987</v>
      </c>
      <c r="CJ13" s="294">
        <v>748588.61</v>
      </c>
      <c r="CK13" s="294">
        <v>2766.25</v>
      </c>
      <c r="CL13" s="294">
        <v>0</v>
      </c>
      <c r="CM13" s="294">
        <v>745822.36</v>
      </c>
      <c r="CN13" s="294">
        <v>0</v>
      </c>
      <c r="CO13" s="294">
        <v>0</v>
      </c>
      <c r="CP13" s="294">
        <v>16844.77</v>
      </c>
      <c r="CQ13" s="294">
        <v>5667.32</v>
      </c>
      <c r="CR13" s="294">
        <v>-142668.57999999999</v>
      </c>
      <c r="CS13" s="294">
        <v>625665.87</v>
      </c>
      <c r="CT13" s="294">
        <v>0</v>
      </c>
      <c r="CU13" s="294">
        <v>0</v>
      </c>
      <c r="CV13" s="294">
        <v>0</v>
      </c>
      <c r="CW13" s="294">
        <v>0</v>
      </c>
      <c r="CX13" s="294"/>
      <c r="CY13" s="294"/>
      <c r="CZ13" s="294"/>
      <c r="DA13" s="294">
        <v>0</v>
      </c>
      <c r="DB13" s="294">
        <v>0</v>
      </c>
      <c r="DC13" s="294">
        <v>0</v>
      </c>
      <c r="DD13" s="294">
        <v>14004.54</v>
      </c>
      <c r="DE13" s="294">
        <v>0</v>
      </c>
      <c r="DF13" s="294">
        <v>0</v>
      </c>
      <c r="DG13" s="294">
        <v>-26024.95</v>
      </c>
      <c r="DH13" s="294">
        <v>-39118.160000000003</v>
      </c>
      <c r="DI13" s="294">
        <v>0</v>
      </c>
      <c r="DJ13" s="294">
        <v>0</v>
      </c>
      <c r="DK13" s="294">
        <v>-51138.570000000007</v>
      </c>
      <c r="DL13" s="294">
        <v>0</v>
      </c>
      <c r="DM13" s="294">
        <v>0</v>
      </c>
      <c r="DN13" s="294">
        <v>-99123.82</v>
      </c>
      <c r="DO13" s="294">
        <v>0</v>
      </c>
      <c r="DP13" s="294">
        <v>0</v>
      </c>
      <c r="DQ13" s="324">
        <v>0</v>
      </c>
      <c r="DR13" s="295">
        <v>2717484.2600000007</v>
      </c>
      <c r="DS13" s="325">
        <v>1081406.5700000003</v>
      </c>
      <c r="DT13" s="295">
        <v>162512.10000000003</v>
      </c>
      <c r="DU13" s="295">
        <v>33382.129999999997</v>
      </c>
      <c r="DV13" s="295">
        <v>67425.960000000006</v>
      </c>
      <c r="DW13" s="295">
        <v>-99123.82</v>
      </c>
    </row>
    <row r="14" spans="1:142">
      <c r="A14" s="321">
        <v>2062</v>
      </c>
      <c r="B14" s="322" t="s">
        <v>396</v>
      </c>
      <c r="C14" s="321">
        <v>2062</v>
      </c>
      <c r="D14" s="323" t="s">
        <v>817</v>
      </c>
      <c r="E14" s="323" t="s">
        <v>539</v>
      </c>
      <c r="F14" s="323" t="s">
        <v>818</v>
      </c>
      <c r="G14" s="323" t="s">
        <v>537</v>
      </c>
      <c r="H14" s="294">
        <v>2718981.12</v>
      </c>
      <c r="I14" s="294">
        <v>0</v>
      </c>
      <c r="J14" s="294">
        <v>134229.20000000001</v>
      </c>
      <c r="K14" s="294">
        <v>0</v>
      </c>
      <c r="L14" s="294">
        <v>298900</v>
      </c>
      <c r="M14" s="294">
        <v>3256.93</v>
      </c>
      <c r="N14" s="294">
        <v>0</v>
      </c>
      <c r="O14" s="294">
        <v>0</v>
      </c>
      <c r="P14" s="294">
        <v>29693.340000000004</v>
      </c>
      <c r="Q14" s="294">
        <v>44745.91</v>
      </c>
      <c r="R14" s="294">
        <v>0</v>
      </c>
      <c r="S14" s="294">
        <v>0</v>
      </c>
      <c r="T14" s="294">
        <v>20700.41</v>
      </c>
      <c r="U14" s="294">
        <v>0</v>
      </c>
      <c r="V14" s="294">
        <v>0</v>
      </c>
      <c r="W14" s="294">
        <v>8049.3</v>
      </c>
      <c r="X14" s="294">
        <v>64612</v>
      </c>
      <c r="Y14" s="294">
        <v>3323168.2100000004</v>
      </c>
      <c r="Z14" s="294">
        <v>1165033.1399999994</v>
      </c>
      <c r="AA14" s="294">
        <v>407.35</v>
      </c>
      <c r="AB14" s="294">
        <v>1353.5099999999991</v>
      </c>
      <c r="AC14" s="294">
        <v>635916.82000000076</v>
      </c>
      <c r="AD14" s="294">
        <v>238.23000000000005</v>
      </c>
      <c r="AE14" s="294">
        <v>0</v>
      </c>
      <c r="AF14" s="294">
        <v>349935.73999999976</v>
      </c>
      <c r="AG14" s="294">
        <v>33193.46</v>
      </c>
      <c r="AH14" s="294">
        <v>11596.5</v>
      </c>
      <c r="AI14" s="294">
        <v>0</v>
      </c>
      <c r="AJ14" s="294">
        <v>128.63</v>
      </c>
      <c r="AK14" s="294">
        <v>-18691.369999999995</v>
      </c>
      <c r="AL14" s="294">
        <v>2093.5</v>
      </c>
      <c r="AM14" s="294">
        <v>20492.280000000002</v>
      </c>
      <c r="AN14" s="294">
        <v>10502.180000000002</v>
      </c>
      <c r="AO14" s="294">
        <v>113617.90000000001</v>
      </c>
      <c r="AP14" s="294">
        <v>48655.93</v>
      </c>
      <c r="AQ14" s="294">
        <v>17043.030000000002</v>
      </c>
      <c r="AR14" s="294">
        <v>119301.79999999996</v>
      </c>
      <c r="AS14" s="294">
        <v>5688.57</v>
      </c>
      <c r="AT14" s="294">
        <v>300.5</v>
      </c>
      <c r="AU14" s="294">
        <v>29587.589999999997</v>
      </c>
      <c r="AV14" s="294">
        <v>9471</v>
      </c>
      <c r="AW14" s="294">
        <v>0</v>
      </c>
      <c r="AX14" s="294">
        <v>177872.77000000002</v>
      </c>
      <c r="AY14" s="294">
        <v>179233.66</v>
      </c>
      <c r="AZ14" s="294">
        <v>14536.06</v>
      </c>
      <c r="BA14" s="294">
        <v>304598.24999999994</v>
      </c>
      <c r="BB14" s="294">
        <v>0</v>
      </c>
      <c r="BC14" s="294">
        <v>0</v>
      </c>
      <c r="BD14" s="294">
        <v>0</v>
      </c>
      <c r="BE14" s="294">
        <v>3232107.0299999993</v>
      </c>
      <c r="BF14" s="294">
        <v>314425.75999999989</v>
      </c>
      <c r="BG14" s="294">
        <v>91061.180000001099</v>
      </c>
      <c r="BH14" s="294">
        <v>405486.94000000099</v>
      </c>
      <c r="BI14" s="294">
        <v>9010.75</v>
      </c>
      <c r="BJ14" s="294">
        <v>0</v>
      </c>
      <c r="BK14" s="294">
        <v>0</v>
      </c>
      <c r="BL14" s="294">
        <v>9010.75</v>
      </c>
      <c r="BM14" s="294">
        <v>0</v>
      </c>
      <c r="BN14" s="294">
        <v>0</v>
      </c>
      <c r="BO14" s="294">
        <v>0</v>
      </c>
      <c r="BP14" s="294">
        <v>0</v>
      </c>
      <c r="BQ14" s="294">
        <v>0</v>
      </c>
      <c r="BR14" s="294">
        <v>16833.259999999998</v>
      </c>
      <c r="BS14" s="294">
        <v>9010.75</v>
      </c>
      <c r="BT14" s="294">
        <v>25844.01</v>
      </c>
      <c r="BU14" s="294">
        <v>0</v>
      </c>
      <c r="BV14" s="294">
        <v>0</v>
      </c>
      <c r="BW14" s="294">
        <v>0</v>
      </c>
      <c r="BX14" s="294">
        <v>0</v>
      </c>
      <c r="BY14" s="294">
        <v>0</v>
      </c>
      <c r="BZ14" s="294">
        <v>0</v>
      </c>
      <c r="CA14" s="294">
        <v>0</v>
      </c>
      <c r="CB14" s="294">
        <v>0</v>
      </c>
      <c r="CC14" s="294">
        <v>0</v>
      </c>
      <c r="CD14" s="294">
        <v>405486.94000000099</v>
      </c>
      <c r="CE14" s="294">
        <v>0</v>
      </c>
      <c r="CF14" s="294">
        <v>25844.01</v>
      </c>
      <c r="CG14" s="294">
        <v>0</v>
      </c>
      <c r="CH14" s="294">
        <v>0</v>
      </c>
      <c r="CI14" s="294">
        <f t="shared" si="0"/>
        <v>431330.950000001</v>
      </c>
      <c r="CJ14" s="294">
        <v>205906.23</v>
      </c>
      <c r="CK14" s="294">
        <v>0</v>
      </c>
      <c r="CL14" s="294">
        <v>0</v>
      </c>
      <c r="CM14" s="294">
        <v>205906.23</v>
      </c>
      <c r="CN14" s="294">
        <v>0</v>
      </c>
      <c r="CO14" s="294">
        <v>0</v>
      </c>
      <c r="CP14" s="294">
        <v>9098.75</v>
      </c>
      <c r="CQ14" s="294">
        <v>0</v>
      </c>
      <c r="CR14" s="294">
        <v>306619.03999999998</v>
      </c>
      <c r="CS14" s="294">
        <v>521624.02</v>
      </c>
      <c r="CT14" s="294">
        <v>0</v>
      </c>
      <c r="CU14" s="294">
        <v>0</v>
      </c>
      <c r="CV14" s="294">
        <v>0</v>
      </c>
      <c r="CW14" s="294">
        <v>0</v>
      </c>
      <c r="CX14" s="294"/>
      <c r="CY14" s="294"/>
      <c r="CZ14" s="294"/>
      <c r="DA14" s="294">
        <v>0</v>
      </c>
      <c r="DB14" s="294">
        <v>0</v>
      </c>
      <c r="DC14" s="294">
        <v>0</v>
      </c>
      <c r="DD14" s="294">
        <v>10380.33</v>
      </c>
      <c r="DE14" s="294">
        <v>0</v>
      </c>
      <c r="DF14" s="294">
        <v>0</v>
      </c>
      <c r="DG14" s="294">
        <v>-55209.74</v>
      </c>
      <c r="DH14" s="294">
        <v>-45463.66</v>
      </c>
      <c r="DI14" s="294">
        <v>0</v>
      </c>
      <c r="DJ14" s="294">
        <v>0</v>
      </c>
      <c r="DK14" s="294">
        <v>-90293.07</v>
      </c>
      <c r="DL14" s="294">
        <v>0</v>
      </c>
      <c r="DM14" s="294">
        <v>0</v>
      </c>
      <c r="DN14" s="294">
        <v>0</v>
      </c>
      <c r="DO14" s="294">
        <v>0</v>
      </c>
      <c r="DP14" s="294">
        <v>0</v>
      </c>
      <c r="DQ14" s="324">
        <v>0</v>
      </c>
      <c r="DR14" s="295">
        <v>2186078.25</v>
      </c>
      <c r="DS14" s="325">
        <v>1046028.7799999993</v>
      </c>
      <c r="DT14" s="295">
        <v>179233.66</v>
      </c>
      <c r="DU14" s="295">
        <v>95139.66</v>
      </c>
      <c r="DV14" s="295">
        <v>0</v>
      </c>
      <c r="DW14" s="295">
        <v>0</v>
      </c>
      <c r="DZ14"/>
      <c r="EA14"/>
    </row>
    <row r="15" spans="1:142">
      <c r="A15" s="321">
        <v>2479</v>
      </c>
      <c r="B15" s="322" t="s">
        <v>481</v>
      </c>
      <c r="C15" s="321">
        <v>2479</v>
      </c>
      <c r="D15" s="323" t="s">
        <v>817</v>
      </c>
      <c r="E15" s="323" t="s">
        <v>539</v>
      </c>
      <c r="F15" s="323" t="s">
        <v>818</v>
      </c>
      <c r="G15" s="323" t="s">
        <v>537</v>
      </c>
      <c r="H15" s="294">
        <v>4194031.43</v>
      </c>
      <c r="I15" s="294">
        <v>0</v>
      </c>
      <c r="J15" s="294">
        <v>239493.52</v>
      </c>
      <c r="K15" s="294">
        <v>0</v>
      </c>
      <c r="L15" s="294">
        <v>477160</v>
      </c>
      <c r="M15" s="294">
        <v>9113.86</v>
      </c>
      <c r="N15" s="294">
        <v>0</v>
      </c>
      <c r="O15" s="294">
        <v>0</v>
      </c>
      <c r="P15" s="294">
        <v>94439.340000000026</v>
      </c>
      <c r="Q15" s="294">
        <v>0</v>
      </c>
      <c r="R15" s="294">
        <v>0</v>
      </c>
      <c r="S15" s="294">
        <v>0</v>
      </c>
      <c r="T15" s="294">
        <v>0</v>
      </c>
      <c r="U15" s="294">
        <v>0</v>
      </c>
      <c r="V15" s="294">
        <v>0</v>
      </c>
      <c r="W15" s="294">
        <v>27255.55</v>
      </c>
      <c r="X15" s="294">
        <v>89576</v>
      </c>
      <c r="Y15" s="294">
        <v>5131069.7</v>
      </c>
      <c r="Z15" s="294">
        <v>1974496.9500000032</v>
      </c>
      <c r="AA15" s="294">
        <v>1274.8799999999999</v>
      </c>
      <c r="AB15" s="294">
        <v>-7459.6500000000051</v>
      </c>
      <c r="AC15" s="294">
        <v>951064.84999999939</v>
      </c>
      <c r="AD15" s="294">
        <v>207.64000000000004</v>
      </c>
      <c r="AE15" s="294">
        <v>0</v>
      </c>
      <c r="AF15" s="294">
        <v>972253.80000000261</v>
      </c>
      <c r="AG15" s="294">
        <v>-2238.6099999995354</v>
      </c>
      <c r="AH15" s="294">
        <v>4468.7</v>
      </c>
      <c r="AI15" s="294">
        <v>0</v>
      </c>
      <c r="AJ15" s="294">
        <v>0</v>
      </c>
      <c r="AK15" s="294">
        <v>-4036</v>
      </c>
      <c r="AL15" s="294">
        <v>650</v>
      </c>
      <c r="AM15" s="294">
        <v>60827.42000000002</v>
      </c>
      <c r="AN15" s="294">
        <v>2921.66</v>
      </c>
      <c r="AO15" s="294">
        <v>99600.700000000012</v>
      </c>
      <c r="AP15" s="294">
        <v>36131.910000000003</v>
      </c>
      <c r="AQ15" s="294">
        <v>41020.15</v>
      </c>
      <c r="AR15" s="294">
        <v>662922.59</v>
      </c>
      <c r="AS15" s="294">
        <v>42904.33</v>
      </c>
      <c r="AT15" s="294">
        <v>12.02</v>
      </c>
      <c r="AU15" s="294">
        <v>12611.150000000003</v>
      </c>
      <c r="AV15" s="294">
        <v>18745.650000000001</v>
      </c>
      <c r="AW15" s="294">
        <v>0</v>
      </c>
      <c r="AX15" s="294">
        <v>234753.49000000002</v>
      </c>
      <c r="AY15" s="294">
        <v>299982.2</v>
      </c>
      <c r="AZ15" s="294">
        <v>22435.86</v>
      </c>
      <c r="BA15" s="294">
        <v>60085.75</v>
      </c>
      <c r="BB15" s="294">
        <v>0</v>
      </c>
      <c r="BC15" s="294">
        <v>0</v>
      </c>
      <c r="BD15" s="294">
        <v>0</v>
      </c>
      <c r="BE15" s="294">
        <v>5485637.4400000079</v>
      </c>
      <c r="BF15" s="294">
        <v>459661.59000000102</v>
      </c>
      <c r="BG15" s="294">
        <v>-354567.74000000767</v>
      </c>
      <c r="BH15" s="294">
        <v>105093.84999999334</v>
      </c>
      <c r="BI15" s="294">
        <v>11987.5</v>
      </c>
      <c r="BJ15" s="294">
        <v>0</v>
      </c>
      <c r="BK15" s="294">
        <v>0</v>
      </c>
      <c r="BL15" s="294">
        <v>11987.5</v>
      </c>
      <c r="BM15" s="294">
        <v>0</v>
      </c>
      <c r="BN15" s="294">
        <v>10476</v>
      </c>
      <c r="BO15" s="294">
        <v>0</v>
      </c>
      <c r="BP15" s="294">
        <v>0</v>
      </c>
      <c r="BQ15" s="294">
        <v>10476</v>
      </c>
      <c r="BR15" s="294">
        <v>25324.150000000005</v>
      </c>
      <c r="BS15" s="294">
        <v>1511.5</v>
      </c>
      <c r="BT15" s="294">
        <v>26835.650000000005</v>
      </c>
      <c r="BU15" s="294">
        <v>0</v>
      </c>
      <c r="BV15" s="294">
        <v>0</v>
      </c>
      <c r="BW15" s="294">
        <v>0</v>
      </c>
      <c r="BX15" s="294">
        <v>0</v>
      </c>
      <c r="BY15" s="294">
        <v>0</v>
      </c>
      <c r="BZ15" s="294">
        <v>0</v>
      </c>
      <c r="CA15" s="294">
        <v>0</v>
      </c>
      <c r="CB15" s="294">
        <v>0</v>
      </c>
      <c r="CC15" s="294">
        <v>0</v>
      </c>
      <c r="CD15" s="294">
        <v>105093.84999999334</v>
      </c>
      <c r="CE15" s="294">
        <v>0</v>
      </c>
      <c r="CF15" s="294">
        <v>26835.650000000005</v>
      </c>
      <c r="CG15" s="294">
        <v>0</v>
      </c>
      <c r="CH15" s="294">
        <v>0</v>
      </c>
      <c r="CI15" s="294">
        <f t="shared" si="0"/>
        <v>131929.49999999334</v>
      </c>
      <c r="CJ15" s="294">
        <v>490704.43</v>
      </c>
      <c r="CK15" s="294">
        <v>0</v>
      </c>
      <c r="CL15" s="294">
        <v>0</v>
      </c>
      <c r="CM15" s="294">
        <v>490704.43</v>
      </c>
      <c r="CN15" s="294">
        <v>0</v>
      </c>
      <c r="CO15" s="294">
        <v>0</v>
      </c>
      <c r="CP15" s="294">
        <v>11925.42</v>
      </c>
      <c r="CQ15" s="294">
        <v>0</v>
      </c>
      <c r="CR15" s="294">
        <v>-330163.27</v>
      </c>
      <c r="CS15" s="294">
        <v>172466.57999999996</v>
      </c>
      <c r="CT15" s="294">
        <v>0</v>
      </c>
      <c r="CU15" s="294">
        <v>0</v>
      </c>
      <c r="CV15" s="294">
        <v>0</v>
      </c>
      <c r="CW15" s="294">
        <v>0</v>
      </c>
      <c r="CX15" s="294"/>
      <c r="CY15" s="294"/>
      <c r="CZ15" s="294"/>
      <c r="DA15" s="294">
        <v>0</v>
      </c>
      <c r="DB15" s="294">
        <v>0</v>
      </c>
      <c r="DC15" s="294">
        <v>0</v>
      </c>
      <c r="DD15" s="294">
        <v>17912.53</v>
      </c>
      <c r="DE15" s="294">
        <v>0</v>
      </c>
      <c r="DF15" s="294">
        <v>0</v>
      </c>
      <c r="DG15" s="294">
        <v>-58318.71</v>
      </c>
      <c r="DH15" s="294">
        <v>-130.9</v>
      </c>
      <c r="DI15" s="294">
        <v>0</v>
      </c>
      <c r="DJ15" s="294">
        <v>0</v>
      </c>
      <c r="DK15" s="294">
        <v>-40537.08</v>
      </c>
      <c r="DL15" s="294">
        <v>0</v>
      </c>
      <c r="DM15" s="294">
        <v>0</v>
      </c>
      <c r="DN15" s="294">
        <v>0</v>
      </c>
      <c r="DO15" s="294">
        <v>0</v>
      </c>
      <c r="DP15" s="294">
        <v>0</v>
      </c>
      <c r="DQ15" s="324">
        <v>0</v>
      </c>
      <c r="DR15" s="295">
        <v>3889599.8600000059</v>
      </c>
      <c r="DS15" s="325">
        <v>1596037.5800000019</v>
      </c>
      <c r="DT15" s="295">
        <v>299982.2</v>
      </c>
      <c r="DU15" s="295">
        <v>94439.340000000026</v>
      </c>
      <c r="DV15" s="295">
        <v>0</v>
      </c>
      <c r="DW15" s="295">
        <v>0</v>
      </c>
      <c r="DZ15"/>
      <c r="EA15"/>
    </row>
    <row r="16" spans="1:142">
      <c r="A16" s="321">
        <v>2300</v>
      </c>
      <c r="B16" s="322" t="s">
        <v>332</v>
      </c>
      <c r="C16" s="321">
        <v>2300</v>
      </c>
      <c r="D16" s="323" t="s">
        <v>817</v>
      </c>
      <c r="E16" s="323" t="s">
        <v>539</v>
      </c>
      <c r="F16" s="323" t="s">
        <v>818</v>
      </c>
      <c r="G16" s="323" t="s">
        <v>537</v>
      </c>
      <c r="H16" s="294">
        <v>3948747.82</v>
      </c>
      <c r="I16" s="294">
        <v>0</v>
      </c>
      <c r="J16" s="294">
        <v>246518.13</v>
      </c>
      <c r="K16" s="294">
        <v>0</v>
      </c>
      <c r="L16" s="294">
        <v>444000</v>
      </c>
      <c r="M16" s="294">
        <v>7200</v>
      </c>
      <c r="N16" s="294">
        <v>0</v>
      </c>
      <c r="O16" s="294">
        <v>0</v>
      </c>
      <c r="P16" s="294">
        <v>314253.08</v>
      </c>
      <c r="Q16" s="294">
        <v>42218.41</v>
      </c>
      <c r="R16" s="294">
        <v>0</v>
      </c>
      <c r="S16" s="294">
        <v>0</v>
      </c>
      <c r="T16" s="294">
        <v>19689.12</v>
      </c>
      <c r="U16" s="294">
        <v>0</v>
      </c>
      <c r="V16" s="294">
        <v>0</v>
      </c>
      <c r="W16" s="294">
        <v>22382.58</v>
      </c>
      <c r="X16" s="294">
        <v>92115</v>
      </c>
      <c r="Y16" s="294">
        <v>5137124.1400000006</v>
      </c>
      <c r="Z16" s="294">
        <v>2157721.39</v>
      </c>
      <c r="AA16" s="294">
        <v>0</v>
      </c>
      <c r="AB16" s="294">
        <v>974956.82</v>
      </c>
      <c r="AC16" s="294">
        <v>0</v>
      </c>
      <c r="AD16" s="294">
        <v>244312.14</v>
      </c>
      <c r="AE16" s="294">
        <v>167684.88</v>
      </c>
      <c r="AF16" s="294">
        <v>189668.45</v>
      </c>
      <c r="AG16" s="294">
        <v>0</v>
      </c>
      <c r="AH16" s="294">
        <v>0</v>
      </c>
      <c r="AI16" s="294">
        <v>0</v>
      </c>
      <c r="AJ16" s="294">
        <v>0</v>
      </c>
      <c r="AK16" s="294">
        <v>3207.64</v>
      </c>
      <c r="AL16" s="294">
        <v>0</v>
      </c>
      <c r="AM16" s="294">
        <v>0</v>
      </c>
      <c r="AN16" s="294">
        <v>26224.48</v>
      </c>
      <c r="AO16" s="294">
        <v>88165.54</v>
      </c>
      <c r="AP16" s="294">
        <v>75856.23</v>
      </c>
      <c r="AQ16" s="294">
        <v>20945.13</v>
      </c>
      <c r="AR16" s="294">
        <v>59505.74</v>
      </c>
      <c r="AS16" s="294">
        <v>3401</v>
      </c>
      <c r="AT16" s="294">
        <v>0</v>
      </c>
      <c r="AU16" s="294">
        <v>99071.65</v>
      </c>
      <c r="AV16" s="294">
        <v>39759.380000000005</v>
      </c>
      <c r="AW16" s="294">
        <v>0</v>
      </c>
      <c r="AX16" s="294">
        <v>134353.01</v>
      </c>
      <c r="AY16" s="294">
        <v>115967.97</v>
      </c>
      <c r="AZ16" s="294">
        <v>16287.45</v>
      </c>
      <c r="BA16" s="294">
        <v>130.9</v>
      </c>
      <c r="BB16" s="294">
        <v>581413.05000000005</v>
      </c>
      <c r="BC16" s="294">
        <v>13951.27</v>
      </c>
      <c r="BD16" s="294">
        <v>0</v>
      </c>
      <c r="BE16" s="294">
        <v>5012584.12</v>
      </c>
      <c r="BF16" s="294">
        <v>132869.09999999974</v>
      </c>
      <c r="BG16" s="294">
        <v>124540.02000000048</v>
      </c>
      <c r="BH16" s="294">
        <v>257409.12000000023</v>
      </c>
      <c r="BI16" s="294">
        <v>68505.350000000006</v>
      </c>
      <c r="BJ16" s="294">
        <v>0</v>
      </c>
      <c r="BK16" s="294">
        <v>0</v>
      </c>
      <c r="BL16" s="294">
        <v>68505.350000000006</v>
      </c>
      <c r="BM16" s="294">
        <v>0</v>
      </c>
      <c r="BN16" s="294">
        <v>0</v>
      </c>
      <c r="BO16" s="294">
        <v>45986.16</v>
      </c>
      <c r="BP16" s="294">
        <v>0</v>
      </c>
      <c r="BQ16" s="294">
        <v>45986.16</v>
      </c>
      <c r="BR16" s="294">
        <v>34995.35</v>
      </c>
      <c r="BS16" s="294">
        <v>22519.190000000002</v>
      </c>
      <c r="BT16" s="294">
        <v>57514.54</v>
      </c>
      <c r="BU16" s="294">
        <v>0</v>
      </c>
      <c r="BV16" s="294">
        <v>0</v>
      </c>
      <c r="BW16" s="294">
        <v>0</v>
      </c>
      <c r="BX16" s="294">
        <v>0</v>
      </c>
      <c r="BY16" s="294">
        <v>0</v>
      </c>
      <c r="BZ16" s="294">
        <v>0</v>
      </c>
      <c r="CA16" s="294">
        <v>0</v>
      </c>
      <c r="CB16" s="294">
        <v>0</v>
      </c>
      <c r="CC16" s="294">
        <v>0</v>
      </c>
      <c r="CD16" s="294">
        <v>257409.12000000023</v>
      </c>
      <c r="CE16" s="294">
        <v>0</v>
      </c>
      <c r="CF16" s="294">
        <v>57514.54</v>
      </c>
      <c r="CG16" s="294">
        <v>0</v>
      </c>
      <c r="CH16" s="294">
        <v>0</v>
      </c>
      <c r="CI16" s="294">
        <f t="shared" si="0"/>
        <v>314923.66000000021</v>
      </c>
      <c r="CJ16" s="294">
        <v>704734.33</v>
      </c>
      <c r="CK16" s="294">
        <v>225381.92</v>
      </c>
      <c r="CL16" s="294">
        <v>0</v>
      </c>
      <c r="CM16" s="294">
        <v>479352.40999999992</v>
      </c>
      <c r="CN16" s="294">
        <v>0</v>
      </c>
      <c r="CO16" s="294">
        <v>0</v>
      </c>
      <c r="CP16" s="294">
        <v>15829.09</v>
      </c>
      <c r="CQ16" s="294">
        <v>15062.81</v>
      </c>
      <c r="CR16" s="294">
        <v>0</v>
      </c>
      <c r="CS16" s="294">
        <v>510244.30999999994</v>
      </c>
      <c r="CT16" s="294">
        <v>110000</v>
      </c>
      <c r="CU16" s="294">
        <v>10039.200000000001</v>
      </c>
      <c r="CV16" s="294">
        <v>0</v>
      </c>
      <c r="CW16" s="294">
        <v>99960.8</v>
      </c>
      <c r="CX16" s="294"/>
      <c r="CY16" s="294"/>
      <c r="CZ16" s="294"/>
      <c r="DA16" s="294">
        <v>0</v>
      </c>
      <c r="DB16" s="294">
        <v>99960.8</v>
      </c>
      <c r="DC16" s="294">
        <v>0</v>
      </c>
      <c r="DD16" s="294">
        <v>2270.62</v>
      </c>
      <c r="DE16" s="294">
        <v>0</v>
      </c>
      <c r="DF16" s="294">
        <v>0</v>
      </c>
      <c r="DG16" s="294">
        <v>-9728.4599999999991</v>
      </c>
      <c r="DH16" s="294">
        <v>-4147.8999999999996</v>
      </c>
      <c r="DI16" s="294">
        <v>0</v>
      </c>
      <c r="DJ16" s="294">
        <v>0</v>
      </c>
      <c r="DK16" s="294">
        <v>-11605.739999999998</v>
      </c>
      <c r="DL16" s="294">
        <v>0</v>
      </c>
      <c r="DM16" s="294">
        <v>26928.11</v>
      </c>
      <c r="DN16" s="294">
        <v>0</v>
      </c>
      <c r="DO16" s="294">
        <v>-310603.82</v>
      </c>
      <c r="DP16" s="294">
        <v>0</v>
      </c>
      <c r="DQ16" s="324">
        <v>0</v>
      </c>
      <c r="DR16" s="295">
        <v>3734343.6800000002</v>
      </c>
      <c r="DS16" s="325">
        <v>1278240.44</v>
      </c>
      <c r="DT16" s="295">
        <v>115967.97</v>
      </c>
      <c r="DU16" s="295">
        <v>376160.61</v>
      </c>
      <c r="DV16" s="295">
        <v>0</v>
      </c>
      <c r="DW16" s="295">
        <v>-283675.71000000002</v>
      </c>
      <c r="DZ16"/>
      <c r="EA16"/>
    </row>
    <row r="17" spans="1:138">
      <c r="A17" s="321">
        <v>2014</v>
      </c>
      <c r="B17" s="322" t="s">
        <v>397</v>
      </c>
      <c r="C17" s="321">
        <v>2014</v>
      </c>
      <c r="D17" s="323" t="s">
        <v>817</v>
      </c>
      <c r="E17" s="323" t="s">
        <v>539</v>
      </c>
      <c r="F17" s="323" t="s">
        <v>818</v>
      </c>
      <c r="G17" s="323" t="s">
        <v>800</v>
      </c>
      <c r="H17" s="294">
        <v>2443253.29</v>
      </c>
      <c r="I17" s="294">
        <v>0</v>
      </c>
      <c r="J17" s="294">
        <v>49556.5</v>
      </c>
      <c r="K17" s="294">
        <v>0</v>
      </c>
      <c r="L17" s="294">
        <v>242480</v>
      </c>
      <c r="M17" s="294">
        <v>6171.29</v>
      </c>
      <c r="N17" s="294">
        <v>0</v>
      </c>
      <c r="O17" s="294">
        <v>0</v>
      </c>
      <c r="P17" s="294">
        <v>115931.61</v>
      </c>
      <c r="Q17" s="294">
        <v>787.32</v>
      </c>
      <c r="R17" s="294">
        <v>0</v>
      </c>
      <c r="S17" s="294">
        <v>0</v>
      </c>
      <c r="T17" s="294">
        <v>1752.3299999999997</v>
      </c>
      <c r="U17" s="294">
        <v>0</v>
      </c>
      <c r="V17" s="294">
        <v>0</v>
      </c>
      <c r="W17" s="294">
        <v>15124.58</v>
      </c>
      <c r="X17" s="294">
        <v>71370</v>
      </c>
      <c r="Y17" s="294">
        <v>2946426.92</v>
      </c>
      <c r="Z17" s="294">
        <v>971204.00000000058</v>
      </c>
      <c r="AA17" s="294">
        <v>2439.5300000000002</v>
      </c>
      <c r="AB17" s="294">
        <v>-6566.0399999999991</v>
      </c>
      <c r="AC17" s="294">
        <v>528082.94000000088</v>
      </c>
      <c r="AD17" s="294">
        <v>1926.8200000000008</v>
      </c>
      <c r="AE17" s="294">
        <v>124.79999999999988</v>
      </c>
      <c r="AF17" s="294">
        <v>725436.66000000085</v>
      </c>
      <c r="AG17" s="294">
        <v>16121.860000000072</v>
      </c>
      <c r="AH17" s="294">
        <v>12965.1</v>
      </c>
      <c r="AI17" s="294">
        <v>0</v>
      </c>
      <c r="AJ17" s="294">
        <v>1215.03</v>
      </c>
      <c r="AK17" s="294">
        <v>12372.28</v>
      </c>
      <c r="AL17" s="294">
        <v>90.000000000000028</v>
      </c>
      <c r="AM17" s="294">
        <v>8561.5800000000017</v>
      </c>
      <c r="AN17" s="294">
        <v>26569.920000000002</v>
      </c>
      <c r="AO17" s="294">
        <v>72149.280000000013</v>
      </c>
      <c r="AP17" s="294">
        <v>34184.79</v>
      </c>
      <c r="AQ17" s="294">
        <v>6757.75</v>
      </c>
      <c r="AR17" s="294">
        <v>76939.319999999992</v>
      </c>
      <c r="AS17" s="294">
        <v>27529.85</v>
      </c>
      <c r="AT17" s="294">
        <v>14717.700000000004</v>
      </c>
      <c r="AU17" s="294">
        <v>115201.97999999998</v>
      </c>
      <c r="AV17" s="294">
        <v>9471</v>
      </c>
      <c r="AW17" s="294">
        <v>-4140</v>
      </c>
      <c r="AX17" s="294">
        <v>83604.350000000006</v>
      </c>
      <c r="AY17" s="294">
        <v>33414.69</v>
      </c>
      <c r="AZ17" s="294">
        <v>9852.51</v>
      </c>
      <c r="BA17" s="294">
        <v>120753.38999999998</v>
      </c>
      <c r="BB17" s="294">
        <v>0</v>
      </c>
      <c r="BC17" s="294">
        <v>0</v>
      </c>
      <c r="BD17" s="294">
        <v>0</v>
      </c>
      <c r="BE17" s="294">
        <v>2900981.0900000022</v>
      </c>
      <c r="BF17" s="294">
        <v>-362814.89000000007</v>
      </c>
      <c r="BG17" s="294">
        <v>45445.829999997746</v>
      </c>
      <c r="BH17" s="294">
        <v>-317369.06000000233</v>
      </c>
      <c r="BI17" s="294">
        <v>8587.75</v>
      </c>
      <c r="BJ17" s="294">
        <v>0</v>
      </c>
      <c r="BK17" s="294">
        <v>0</v>
      </c>
      <c r="BL17" s="294">
        <v>8587.75</v>
      </c>
      <c r="BM17" s="294">
        <v>0</v>
      </c>
      <c r="BN17" s="294">
        <v>0</v>
      </c>
      <c r="BO17" s="294">
        <v>0</v>
      </c>
      <c r="BP17" s="294">
        <v>0</v>
      </c>
      <c r="BQ17" s="294">
        <v>0</v>
      </c>
      <c r="BR17" s="294">
        <v>0</v>
      </c>
      <c r="BS17" s="294">
        <v>8587.75</v>
      </c>
      <c r="BT17" s="294">
        <v>8587.75</v>
      </c>
      <c r="BU17" s="294">
        <v>0</v>
      </c>
      <c r="BV17" s="294">
        <v>0</v>
      </c>
      <c r="BW17" s="294">
        <v>0</v>
      </c>
      <c r="BX17" s="294">
        <v>0</v>
      </c>
      <c r="BY17" s="294">
        <v>0</v>
      </c>
      <c r="BZ17" s="294">
        <v>0</v>
      </c>
      <c r="CA17" s="294">
        <v>0</v>
      </c>
      <c r="CB17" s="294">
        <v>0</v>
      </c>
      <c r="CC17" s="294">
        <v>0</v>
      </c>
      <c r="CD17" s="294">
        <v>-317369.06000000233</v>
      </c>
      <c r="CE17" s="294">
        <v>0</v>
      </c>
      <c r="CF17" s="294">
        <v>8587.75</v>
      </c>
      <c r="CG17" s="294">
        <v>0</v>
      </c>
      <c r="CH17" s="294">
        <v>0</v>
      </c>
      <c r="CI17" s="294">
        <f t="shared" si="0"/>
        <v>-308781.31000000233</v>
      </c>
      <c r="CJ17" s="294">
        <v>0</v>
      </c>
      <c r="CK17" s="294">
        <v>0</v>
      </c>
      <c r="CL17" s="294">
        <v>0</v>
      </c>
      <c r="CM17" s="294">
        <v>0</v>
      </c>
      <c r="CN17" s="294">
        <v>0</v>
      </c>
      <c r="CO17" s="294">
        <v>0</v>
      </c>
      <c r="CP17" s="294">
        <v>0</v>
      </c>
      <c r="CQ17" s="294">
        <v>0</v>
      </c>
      <c r="CR17" s="294">
        <v>0</v>
      </c>
      <c r="CS17" s="294">
        <v>0</v>
      </c>
      <c r="CT17" s="294">
        <v>0</v>
      </c>
      <c r="CU17" s="294">
        <v>0</v>
      </c>
      <c r="CV17" s="294">
        <v>0</v>
      </c>
      <c r="CW17" s="294">
        <v>0</v>
      </c>
      <c r="CX17" s="294"/>
      <c r="CY17" s="294"/>
      <c r="CZ17" s="294"/>
      <c r="DA17" s="294">
        <v>-285604.96000000206</v>
      </c>
      <c r="DB17" s="294">
        <v>-285604.96000000206</v>
      </c>
      <c r="DC17" s="294">
        <v>0</v>
      </c>
      <c r="DD17" s="294">
        <v>1715.68</v>
      </c>
      <c r="DE17" s="294">
        <v>0</v>
      </c>
      <c r="DF17" s="294">
        <v>0</v>
      </c>
      <c r="DG17" s="294">
        <v>0</v>
      </c>
      <c r="DH17" s="294">
        <v>-50007.06</v>
      </c>
      <c r="DI17" s="294">
        <v>0</v>
      </c>
      <c r="DJ17" s="294">
        <v>0</v>
      </c>
      <c r="DK17" s="294">
        <v>-48291.38</v>
      </c>
      <c r="DL17" s="294">
        <v>0</v>
      </c>
      <c r="DM17" s="294">
        <v>0</v>
      </c>
      <c r="DN17" s="294">
        <v>0</v>
      </c>
      <c r="DO17" s="294">
        <v>0</v>
      </c>
      <c r="DP17" s="294">
        <v>0</v>
      </c>
      <c r="DQ17" s="324">
        <v>2.0372681319713593E-9</v>
      </c>
      <c r="DR17" s="295">
        <v>2238770.5700000026</v>
      </c>
      <c r="DS17" s="325">
        <v>662210.51999999955</v>
      </c>
      <c r="DT17" s="295">
        <v>33414.69</v>
      </c>
      <c r="DU17" s="295">
        <v>118471.26000000001</v>
      </c>
      <c r="DV17" s="295">
        <v>0</v>
      </c>
      <c r="DW17" s="295">
        <v>0</v>
      </c>
      <c r="DZ17"/>
      <c r="EA17"/>
    </row>
    <row r="18" spans="1:138">
      <c r="A18" s="326">
        <v>7016</v>
      </c>
      <c r="B18" s="327" t="s">
        <v>333</v>
      </c>
      <c r="C18" s="326">
        <v>7016</v>
      </c>
      <c r="D18" s="323" t="s">
        <v>817</v>
      </c>
      <c r="E18" s="323" t="s">
        <v>541</v>
      </c>
      <c r="F18" s="323" t="s">
        <v>818</v>
      </c>
      <c r="G18" s="323" t="s">
        <v>537</v>
      </c>
      <c r="H18" s="294">
        <v>2220370</v>
      </c>
      <c r="I18" s="294">
        <v>0</v>
      </c>
      <c r="J18" s="294">
        <v>4662886</v>
      </c>
      <c r="K18" s="294">
        <v>0</v>
      </c>
      <c r="L18" s="294">
        <v>72790</v>
      </c>
      <c r="M18" s="294">
        <v>200</v>
      </c>
      <c r="N18" s="294">
        <v>70134</v>
      </c>
      <c r="O18" s="294">
        <v>0</v>
      </c>
      <c r="P18" s="294">
        <v>8596</v>
      </c>
      <c r="Q18" s="294">
        <v>0</v>
      </c>
      <c r="R18" s="294">
        <v>0</v>
      </c>
      <c r="S18" s="294">
        <v>0</v>
      </c>
      <c r="T18" s="294">
        <v>0</v>
      </c>
      <c r="U18" s="294">
        <v>0</v>
      </c>
      <c r="V18" s="294">
        <v>0</v>
      </c>
      <c r="W18" s="294">
        <v>19637</v>
      </c>
      <c r="X18" s="294">
        <v>0</v>
      </c>
      <c r="Y18" s="294">
        <v>7054613</v>
      </c>
      <c r="Z18" s="294">
        <v>2217351</v>
      </c>
      <c r="AA18" s="294">
        <v>0</v>
      </c>
      <c r="AB18" s="294">
        <v>1120493</v>
      </c>
      <c r="AC18" s="294">
        <v>233529</v>
      </c>
      <c r="AD18" s="294">
        <v>291103</v>
      </c>
      <c r="AE18" s="294">
        <v>61854</v>
      </c>
      <c r="AF18" s="294">
        <v>896884</v>
      </c>
      <c r="AG18" s="294">
        <v>50222</v>
      </c>
      <c r="AH18" s="294">
        <v>20914</v>
      </c>
      <c r="AI18" s="294">
        <v>0</v>
      </c>
      <c r="AJ18" s="294">
        <v>0</v>
      </c>
      <c r="AK18" s="294">
        <v>212941</v>
      </c>
      <c r="AL18" s="294">
        <v>4958</v>
      </c>
      <c r="AM18" s="294">
        <v>28260</v>
      </c>
      <c r="AN18" s="294">
        <v>6068</v>
      </c>
      <c r="AO18" s="294">
        <v>50475</v>
      </c>
      <c r="AP18" s="294">
        <v>0</v>
      </c>
      <c r="AQ18" s="294">
        <v>45811</v>
      </c>
      <c r="AR18" s="294">
        <v>296983</v>
      </c>
      <c r="AS18" s="294">
        <v>135383</v>
      </c>
      <c r="AT18" s="294">
        <v>6311</v>
      </c>
      <c r="AU18" s="294">
        <v>68479</v>
      </c>
      <c r="AV18" s="294">
        <v>4700</v>
      </c>
      <c r="AW18" s="294">
        <v>289</v>
      </c>
      <c r="AX18" s="294">
        <v>54231</v>
      </c>
      <c r="AY18" s="294">
        <v>160720</v>
      </c>
      <c r="AZ18" s="294">
        <v>6694</v>
      </c>
      <c r="BA18" s="294">
        <v>1448994</v>
      </c>
      <c r="BB18" s="294">
        <v>0</v>
      </c>
      <c r="BC18" s="294">
        <v>0</v>
      </c>
      <c r="BD18" s="294">
        <v>0</v>
      </c>
      <c r="BE18" s="294">
        <v>7423647</v>
      </c>
      <c r="BF18" s="294">
        <v>744463</v>
      </c>
      <c r="BG18" s="294">
        <v>-369034</v>
      </c>
      <c r="BH18" s="294">
        <v>375429</v>
      </c>
      <c r="BI18" s="294">
        <v>12910</v>
      </c>
      <c r="BJ18" s="294">
        <v>0</v>
      </c>
      <c r="BK18" s="294">
        <v>0</v>
      </c>
      <c r="BL18" s="294">
        <v>12910</v>
      </c>
      <c r="BM18" s="294">
        <v>0</v>
      </c>
      <c r="BN18" s="294">
        <v>0</v>
      </c>
      <c r="BO18" s="294">
        <v>0</v>
      </c>
      <c r="BP18" s="294">
        <v>0</v>
      </c>
      <c r="BQ18" s="294">
        <v>0</v>
      </c>
      <c r="BR18" s="294">
        <v>57393</v>
      </c>
      <c r="BS18" s="294">
        <v>12910</v>
      </c>
      <c r="BT18" s="294">
        <v>70303</v>
      </c>
      <c r="BU18" s="294">
        <v>0</v>
      </c>
      <c r="BV18" s="294">
        <v>0</v>
      </c>
      <c r="BW18" s="294">
        <v>0</v>
      </c>
      <c r="BX18" s="294">
        <v>0</v>
      </c>
      <c r="BY18" s="294">
        <v>0</v>
      </c>
      <c r="BZ18" s="294">
        <v>0</v>
      </c>
      <c r="CA18" s="294">
        <v>0</v>
      </c>
      <c r="CB18" s="294">
        <v>0</v>
      </c>
      <c r="CC18" s="294">
        <v>0</v>
      </c>
      <c r="CD18" s="294">
        <v>375429</v>
      </c>
      <c r="CE18" s="294">
        <v>0</v>
      </c>
      <c r="CF18" s="294">
        <v>70303</v>
      </c>
      <c r="CG18" s="294">
        <v>0</v>
      </c>
      <c r="CH18" s="294">
        <v>0</v>
      </c>
      <c r="CI18" s="294">
        <f t="shared" si="0"/>
        <v>445732</v>
      </c>
      <c r="CJ18" s="294">
        <v>960615</v>
      </c>
      <c r="CK18" s="294">
        <v>489727</v>
      </c>
      <c r="CL18" s="294">
        <v>585088</v>
      </c>
      <c r="CM18" s="294">
        <v>1055976</v>
      </c>
      <c r="CN18" s="294">
        <v>0</v>
      </c>
      <c r="CO18" s="294">
        <v>0</v>
      </c>
      <c r="CP18" s="294">
        <v>41461</v>
      </c>
      <c r="CQ18" s="294">
        <v>189420</v>
      </c>
      <c r="CR18" s="294">
        <v>-745489</v>
      </c>
      <c r="CS18" s="294">
        <v>541368</v>
      </c>
      <c r="CT18" s="294">
        <v>0</v>
      </c>
      <c r="CU18" s="294">
        <v>0</v>
      </c>
      <c r="CV18" s="294">
        <v>0</v>
      </c>
      <c r="CW18" s="294">
        <v>0</v>
      </c>
      <c r="CX18" s="294"/>
      <c r="CY18" s="294"/>
      <c r="CZ18" s="294"/>
      <c r="DA18" s="294">
        <v>0</v>
      </c>
      <c r="DB18" s="294">
        <v>0</v>
      </c>
      <c r="DC18" s="294">
        <v>0</v>
      </c>
      <c r="DD18" s="294">
        <v>8596</v>
      </c>
      <c r="DE18" s="294">
        <v>19311</v>
      </c>
      <c r="DF18" s="294">
        <v>0</v>
      </c>
      <c r="DG18" s="294">
        <v>-118705</v>
      </c>
      <c r="DH18" s="294">
        <v>-2503</v>
      </c>
      <c r="DI18" s="294">
        <v>0</v>
      </c>
      <c r="DJ18" s="294">
        <v>0</v>
      </c>
      <c r="DK18" s="294">
        <v>-93301</v>
      </c>
      <c r="DL18" s="294">
        <v>0</v>
      </c>
      <c r="DM18" s="294">
        <v>0</v>
      </c>
      <c r="DN18" s="294">
        <v>0</v>
      </c>
      <c r="DO18" s="294">
        <v>-2335</v>
      </c>
      <c r="DP18" s="294">
        <v>0</v>
      </c>
      <c r="DQ18" s="324">
        <v>-0.04</v>
      </c>
      <c r="DR18" s="295">
        <v>4871436</v>
      </c>
      <c r="DS18" s="325">
        <v>2552211</v>
      </c>
      <c r="DT18" s="295">
        <v>160720</v>
      </c>
      <c r="DU18" s="295">
        <v>8596</v>
      </c>
      <c r="DV18" s="295">
        <v>0</v>
      </c>
      <c r="DW18" s="295">
        <v>-2335</v>
      </c>
      <c r="DZ18"/>
      <c r="EA18"/>
    </row>
    <row r="19" spans="1:138">
      <c r="A19" s="321">
        <v>7052</v>
      </c>
      <c r="B19" s="322" t="s">
        <v>398</v>
      </c>
      <c r="C19" s="321">
        <v>7052</v>
      </c>
      <c r="D19" s="323" t="s">
        <v>817</v>
      </c>
      <c r="E19" s="323" t="s">
        <v>541</v>
      </c>
      <c r="F19" s="323" t="s">
        <v>818</v>
      </c>
      <c r="G19" s="323" t="s">
        <v>800</v>
      </c>
      <c r="H19" s="294">
        <v>1119137.97</v>
      </c>
      <c r="I19" s="294">
        <v>0</v>
      </c>
      <c r="J19" s="294">
        <v>1599557.9</v>
      </c>
      <c r="K19" s="294">
        <v>0</v>
      </c>
      <c r="L19" s="294">
        <v>71690</v>
      </c>
      <c r="M19" s="294">
        <v>8285.15</v>
      </c>
      <c r="N19" s="294">
        <v>0</v>
      </c>
      <c r="O19" s="294">
        <v>0</v>
      </c>
      <c r="P19" s="294">
        <v>30610.68</v>
      </c>
      <c r="Q19" s="294">
        <v>14787.170000000002</v>
      </c>
      <c r="R19" s="294">
        <v>0</v>
      </c>
      <c r="S19" s="294">
        <v>0</v>
      </c>
      <c r="T19" s="294">
        <v>2412.16</v>
      </c>
      <c r="U19" s="294">
        <v>0</v>
      </c>
      <c r="V19" s="294">
        <v>0</v>
      </c>
      <c r="W19" s="294">
        <v>6151.77</v>
      </c>
      <c r="X19" s="294">
        <v>28732.6</v>
      </c>
      <c r="Y19" s="294">
        <v>2881365.4000000004</v>
      </c>
      <c r="Z19" s="294">
        <v>805771.99999999523</v>
      </c>
      <c r="AA19" s="294">
        <v>0</v>
      </c>
      <c r="AB19" s="294">
        <v>1050960</v>
      </c>
      <c r="AC19" s="294">
        <v>28008.999999999593</v>
      </c>
      <c r="AD19" s="294">
        <v>94702.94</v>
      </c>
      <c r="AE19" s="294">
        <v>0</v>
      </c>
      <c r="AF19" s="294">
        <v>154605.80000000005</v>
      </c>
      <c r="AG19" s="294">
        <v>-1.0186340659856796E-10</v>
      </c>
      <c r="AH19" s="294">
        <v>11469.4</v>
      </c>
      <c r="AI19" s="294">
        <v>0</v>
      </c>
      <c r="AJ19" s="294">
        <v>3529.86</v>
      </c>
      <c r="AK19" s="294">
        <v>5107.3399999999965</v>
      </c>
      <c r="AL19" s="294">
        <v>0</v>
      </c>
      <c r="AM19" s="294">
        <v>1997.28</v>
      </c>
      <c r="AN19" s="294">
        <v>0</v>
      </c>
      <c r="AO19" s="294">
        <v>-80.97</v>
      </c>
      <c r="AP19" s="294">
        <v>0</v>
      </c>
      <c r="AQ19" s="294">
        <v>170650.82</v>
      </c>
      <c r="AR19" s="294">
        <v>48145.470000000038</v>
      </c>
      <c r="AS19" s="294">
        <v>52</v>
      </c>
      <c r="AT19" s="294">
        <v>-923.46</v>
      </c>
      <c r="AU19" s="294">
        <v>14097.479999999998</v>
      </c>
      <c r="AV19" s="294">
        <v>3291.75</v>
      </c>
      <c r="AW19" s="294">
        <v>4902.5</v>
      </c>
      <c r="AX19" s="294">
        <v>37842.270000000004</v>
      </c>
      <c r="AY19" s="294">
        <v>518087.47999999992</v>
      </c>
      <c r="AZ19" s="294">
        <v>0</v>
      </c>
      <c r="BA19" s="294">
        <v>176244.60000000003</v>
      </c>
      <c r="BB19" s="294">
        <v>0</v>
      </c>
      <c r="BC19" s="294">
        <v>0</v>
      </c>
      <c r="BD19" s="294">
        <v>0</v>
      </c>
      <c r="BE19" s="294">
        <v>3128463.559999994</v>
      </c>
      <c r="BF19" s="294">
        <v>-298745.87000000029</v>
      </c>
      <c r="BG19" s="294">
        <v>-247098.15999999363</v>
      </c>
      <c r="BH19" s="294">
        <v>-545844.02999999397</v>
      </c>
      <c r="BI19" s="294">
        <v>39750.75</v>
      </c>
      <c r="BJ19" s="294">
        <v>0</v>
      </c>
      <c r="BK19" s="294">
        <v>0</v>
      </c>
      <c r="BL19" s="294">
        <v>39750.75</v>
      </c>
      <c r="BM19" s="294">
        <v>0</v>
      </c>
      <c r="BN19" s="294">
        <v>30911</v>
      </c>
      <c r="BO19" s="294">
        <v>0</v>
      </c>
      <c r="BP19" s="294">
        <v>0</v>
      </c>
      <c r="BQ19" s="294">
        <v>30911</v>
      </c>
      <c r="BR19" s="294">
        <v>0</v>
      </c>
      <c r="BS19" s="294">
        <v>8839.75</v>
      </c>
      <c r="BT19" s="294">
        <v>8839.75</v>
      </c>
      <c r="BU19" s="294">
        <v>0</v>
      </c>
      <c r="BV19" s="294">
        <v>0</v>
      </c>
      <c r="BW19" s="294">
        <v>0</v>
      </c>
      <c r="BX19" s="294">
        <v>0</v>
      </c>
      <c r="BY19" s="294">
        <v>0</v>
      </c>
      <c r="BZ19" s="294">
        <v>0</v>
      </c>
      <c r="CA19" s="294">
        <v>0</v>
      </c>
      <c r="CB19" s="294">
        <v>0</v>
      </c>
      <c r="CC19" s="294">
        <v>0</v>
      </c>
      <c r="CD19" s="294">
        <v>-545844.02999999397</v>
      </c>
      <c r="CE19" s="294">
        <v>0</v>
      </c>
      <c r="CF19" s="294">
        <v>8839.75</v>
      </c>
      <c r="CG19" s="294">
        <v>0</v>
      </c>
      <c r="CH19" s="294">
        <v>0</v>
      </c>
      <c r="CI19" s="294">
        <f t="shared" si="0"/>
        <v>-537004.27999999397</v>
      </c>
      <c r="CJ19" s="294">
        <v>0</v>
      </c>
      <c r="CK19" s="294">
        <v>0</v>
      </c>
      <c r="CL19" s="294">
        <v>0</v>
      </c>
      <c r="CM19" s="294">
        <v>0</v>
      </c>
      <c r="CN19" s="294">
        <v>0</v>
      </c>
      <c r="CO19" s="294">
        <v>0</v>
      </c>
      <c r="CP19" s="294">
        <v>0</v>
      </c>
      <c r="CQ19" s="294">
        <v>0</v>
      </c>
      <c r="CR19" s="294">
        <v>0</v>
      </c>
      <c r="CS19" s="294">
        <v>0</v>
      </c>
      <c r="CT19" s="294">
        <v>0</v>
      </c>
      <c r="CU19" s="294">
        <v>0</v>
      </c>
      <c r="CV19" s="294">
        <v>0</v>
      </c>
      <c r="CW19" s="294">
        <v>0</v>
      </c>
      <c r="CX19" s="294"/>
      <c r="CY19" s="294"/>
      <c r="CZ19" s="294"/>
      <c r="DA19" s="294">
        <v>-340054.20999999379</v>
      </c>
      <c r="DB19" s="294">
        <v>-340054.20999999379</v>
      </c>
      <c r="DC19" s="294">
        <v>0</v>
      </c>
      <c r="DD19" s="294">
        <v>7337.58</v>
      </c>
      <c r="DE19" s="294">
        <v>0</v>
      </c>
      <c r="DF19" s="294">
        <v>0</v>
      </c>
      <c r="DG19" s="294">
        <v>-193077.72</v>
      </c>
      <c r="DH19" s="294">
        <v>-11209.93</v>
      </c>
      <c r="DI19" s="294">
        <v>0</v>
      </c>
      <c r="DJ19" s="294">
        <v>0</v>
      </c>
      <c r="DK19" s="294">
        <v>-196950.07</v>
      </c>
      <c r="DL19" s="294">
        <v>0</v>
      </c>
      <c r="DM19" s="294">
        <v>0</v>
      </c>
      <c r="DN19" s="294">
        <v>0</v>
      </c>
      <c r="DO19" s="294">
        <v>0</v>
      </c>
      <c r="DP19" s="294">
        <v>0</v>
      </c>
      <c r="DQ19" s="324">
        <v>-6.1700120568275452E-9</v>
      </c>
      <c r="DR19" s="295">
        <v>2134049.7399999946</v>
      </c>
      <c r="DS19" s="325">
        <v>994413.81999999937</v>
      </c>
      <c r="DT19" s="295">
        <v>518087.47999999992</v>
      </c>
      <c r="DU19" s="295">
        <v>47810.010000000009</v>
      </c>
      <c r="DV19" s="295">
        <v>0</v>
      </c>
      <c r="DW19" s="295">
        <v>0</v>
      </c>
      <c r="DZ19"/>
      <c r="EA19"/>
    </row>
    <row r="20" spans="1:138">
      <c r="A20" s="321">
        <v>2017</v>
      </c>
      <c r="B20" s="322" t="s">
        <v>399</v>
      </c>
      <c r="C20" s="321">
        <v>2017</v>
      </c>
      <c r="D20" s="323" t="s">
        <v>817</v>
      </c>
      <c r="E20" s="323" t="s">
        <v>539</v>
      </c>
      <c r="F20" s="323" t="s">
        <v>818</v>
      </c>
      <c r="G20" s="323" t="s">
        <v>537</v>
      </c>
      <c r="H20" s="294">
        <v>1752496.35</v>
      </c>
      <c r="I20" s="294">
        <v>0</v>
      </c>
      <c r="J20" s="294">
        <v>135845.51999999999</v>
      </c>
      <c r="K20" s="294">
        <v>0</v>
      </c>
      <c r="L20" s="294">
        <v>133460</v>
      </c>
      <c r="M20" s="294">
        <v>3856.93</v>
      </c>
      <c r="N20" s="294">
        <v>0</v>
      </c>
      <c r="O20" s="294">
        <v>0</v>
      </c>
      <c r="P20" s="294">
        <v>23574.59</v>
      </c>
      <c r="Q20" s="294">
        <v>2419.86</v>
      </c>
      <c r="R20" s="294">
        <v>0</v>
      </c>
      <c r="S20" s="294">
        <v>0</v>
      </c>
      <c r="T20" s="294">
        <v>1062.2</v>
      </c>
      <c r="U20" s="294">
        <v>0</v>
      </c>
      <c r="V20" s="294">
        <v>0</v>
      </c>
      <c r="W20" s="294">
        <v>2787.71</v>
      </c>
      <c r="X20" s="294">
        <v>83115</v>
      </c>
      <c r="Y20" s="294">
        <v>2138618.16</v>
      </c>
      <c r="Z20" s="294">
        <v>990382.32</v>
      </c>
      <c r="AA20" s="294">
        <v>534.18000000000006</v>
      </c>
      <c r="AB20" s="294">
        <v>257747.35</v>
      </c>
      <c r="AC20" s="294">
        <v>0</v>
      </c>
      <c r="AD20" s="294">
        <v>131137.46</v>
      </c>
      <c r="AE20" s="294">
        <v>0</v>
      </c>
      <c r="AF20" s="294">
        <v>0</v>
      </c>
      <c r="AG20" s="294">
        <v>0</v>
      </c>
      <c r="AH20" s="294">
        <v>0</v>
      </c>
      <c r="AI20" s="294">
        <v>0</v>
      </c>
      <c r="AJ20" s="294">
        <v>0</v>
      </c>
      <c r="AK20" s="294">
        <v>51991.08</v>
      </c>
      <c r="AL20" s="294">
        <v>0</v>
      </c>
      <c r="AM20" s="294">
        <v>0</v>
      </c>
      <c r="AN20" s="294">
        <v>0</v>
      </c>
      <c r="AO20" s="294">
        <v>22078.02</v>
      </c>
      <c r="AP20" s="294">
        <v>28407.83</v>
      </c>
      <c r="AQ20" s="294">
        <v>2485.88</v>
      </c>
      <c r="AR20" s="294">
        <v>83870.75999999998</v>
      </c>
      <c r="AS20" s="294">
        <v>7640.13</v>
      </c>
      <c r="AT20" s="294">
        <v>84.139999999999986</v>
      </c>
      <c r="AU20" s="294">
        <v>12052.990000000002</v>
      </c>
      <c r="AV20" s="294">
        <v>5139.75</v>
      </c>
      <c r="AW20" s="294">
        <v>0</v>
      </c>
      <c r="AX20" s="294">
        <v>99424.79</v>
      </c>
      <c r="AY20" s="294">
        <v>124704.14999999997</v>
      </c>
      <c r="AZ20" s="294">
        <v>6618.48</v>
      </c>
      <c r="BA20" s="294">
        <v>55292.26</v>
      </c>
      <c r="BB20" s="294">
        <v>367531</v>
      </c>
      <c r="BC20" s="294">
        <v>0</v>
      </c>
      <c r="BD20" s="294">
        <v>0</v>
      </c>
      <c r="BE20" s="294">
        <v>2247122.5699999998</v>
      </c>
      <c r="BF20" s="294">
        <v>8143.0000000002328</v>
      </c>
      <c r="BG20" s="294">
        <v>-108504.40999999968</v>
      </c>
      <c r="BH20" s="294">
        <v>-100361.40999999945</v>
      </c>
      <c r="BI20" s="294">
        <v>7026.25</v>
      </c>
      <c r="BJ20" s="294">
        <v>0</v>
      </c>
      <c r="BK20" s="294">
        <v>0</v>
      </c>
      <c r="BL20" s="294">
        <v>7026.25</v>
      </c>
      <c r="BM20" s="294">
        <v>0</v>
      </c>
      <c r="BN20" s="294">
        <v>2771.4</v>
      </c>
      <c r="BO20" s="294">
        <v>0</v>
      </c>
      <c r="BP20" s="294">
        <v>6040.8</v>
      </c>
      <c r="BQ20" s="294">
        <v>8812.2000000000007</v>
      </c>
      <c r="BR20" s="294">
        <v>15080.77</v>
      </c>
      <c r="BS20" s="294">
        <v>-1785.9500000000007</v>
      </c>
      <c r="BT20" s="294">
        <v>13294.82</v>
      </c>
      <c r="BU20" s="294">
        <v>0</v>
      </c>
      <c r="BV20" s="294">
        <v>0</v>
      </c>
      <c r="BW20" s="294">
        <v>0</v>
      </c>
      <c r="BX20" s="294">
        <v>0</v>
      </c>
      <c r="BY20" s="294">
        <v>0</v>
      </c>
      <c r="BZ20" s="294">
        <v>0</v>
      </c>
      <c r="CA20" s="294">
        <v>0</v>
      </c>
      <c r="CB20" s="294">
        <v>0</v>
      </c>
      <c r="CC20" s="294">
        <v>0</v>
      </c>
      <c r="CD20" s="294">
        <v>-100361.40999999945</v>
      </c>
      <c r="CE20" s="294">
        <v>0</v>
      </c>
      <c r="CF20" s="294">
        <v>13294.82</v>
      </c>
      <c r="CG20" s="294">
        <v>0</v>
      </c>
      <c r="CH20" s="294">
        <v>0</v>
      </c>
      <c r="CI20" s="294">
        <f t="shared" si="0"/>
        <v>-87066.589999999444</v>
      </c>
      <c r="CJ20" s="294">
        <v>123084.6</v>
      </c>
      <c r="CK20" s="294">
        <v>0</v>
      </c>
      <c r="CL20" s="294">
        <v>0</v>
      </c>
      <c r="CM20" s="294">
        <v>123084.6</v>
      </c>
      <c r="CN20" s="294">
        <v>0</v>
      </c>
      <c r="CO20" s="294">
        <v>0</v>
      </c>
      <c r="CP20" s="294">
        <v>7555</v>
      </c>
      <c r="CQ20" s="294">
        <v>0</v>
      </c>
      <c r="CR20" s="294">
        <v>-181536.78999999998</v>
      </c>
      <c r="CS20" s="294">
        <v>-50897.189999999973</v>
      </c>
      <c r="CT20" s="294">
        <v>0</v>
      </c>
      <c r="CU20" s="294">
        <v>0</v>
      </c>
      <c r="CV20" s="294">
        <v>0</v>
      </c>
      <c r="CW20" s="294">
        <v>0</v>
      </c>
      <c r="CX20" s="294"/>
      <c r="CY20" s="294"/>
      <c r="CZ20" s="294"/>
      <c r="DA20" s="294">
        <v>0</v>
      </c>
      <c r="DB20" s="294">
        <v>0</v>
      </c>
      <c r="DC20" s="294">
        <v>0</v>
      </c>
      <c r="DD20" s="294">
        <v>306.89</v>
      </c>
      <c r="DE20" s="294">
        <v>0</v>
      </c>
      <c r="DF20" s="294">
        <v>0</v>
      </c>
      <c r="DG20" s="294">
        <v>-36476.29</v>
      </c>
      <c r="DH20" s="294">
        <v>0</v>
      </c>
      <c r="DI20" s="294">
        <v>0</v>
      </c>
      <c r="DJ20" s="294">
        <v>0</v>
      </c>
      <c r="DK20" s="294">
        <v>-36169.4</v>
      </c>
      <c r="DL20" s="294">
        <v>0</v>
      </c>
      <c r="DM20" s="294">
        <v>0</v>
      </c>
      <c r="DN20" s="294">
        <v>0</v>
      </c>
      <c r="DO20" s="294">
        <v>0</v>
      </c>
      <c r="DP20" s="294">
        <v>0</v>
      </c>
      <c r="DQ20" s="324">
        <v>0</v>
      </c>
      <c r="DR20" s="295">
        <v>1379801.31</v>
      </c>
      <c r="DS20" s="325">
        <v>867321.25999999978</v>
      </c>
      <c r="DT20" s="295">
        <v>124704.14999999997</v>
      </c>
      <c r="DU20" s="295">
        <v>27056.65</v>
      </c>
      <c r="DV20" s="295">
        <v>0</v>
      </c>
      <c r="DW20" s="295">
        <v>0</v>
      </c>
      <c r="DZ20"/>
      <c r="EA20"/>
    </row>
    <row r="21" spans="1:138">
      <c r="A21" s="321">
        <v>2016</v>
      </c>
      <c r="B21" s="322" t="s">
        <v>400</v>
      </c>
      <c r="C21" s="321">
        <v>2016</v>
      </c>
      <c r="D21" s="323" t="s">
        <v>817</v>
      </c>
      <c r="E21" s="323" t="s">
        <v>539</v>
      </c>
      <c r="F21" s="323" t="s">
        <v>818</v>
      </c>
      <c r="G21" s="323" t="s">
        <v>537</v>
      </c>
      <c r="H21" s="294">
        <v>2237895</v>
      </c>
      <c r="I21" s="294">
        <v>0</v>
      </c>
      <c r="J21" s="294">
        <v>147363</v>
      </c>
      <c r="K21" s="294">
        <v>0</v>
      </c>
      <c r="L21" s="294">
        <v>223070</v>
      </c>
      <c r="M21" s="294">
        <v>1914</v>
      </c>
      <c r="N21" s="294">
        <v>1110</v>
      </c>
      <c r="O21" s="294">
        <v>0</v>
      </c>
      <c r="P21" s="294">
        <v>114737</v>
      </c>
      <c r="Q21" s="294">
        <v>348</v>
      </c>
      <c r="R21" s="294">
        <v>0</v>
      </c>
      <c r="S21" s="294">
        <v>0</v>
      </c>
      <c r="T21" s="294">
        <v>39284</v>
      </c>
      <c r="U21" s="294">
        <v>0</v>
      </c>
      <c r="V21" s="294">
        <v>0</v>
      </c>
      <c r="W21" s="294">
        <v>2707</v>
      </c>
      <c r="X21" s="294">
        <v>19595</v>
      </c>
      <c r="Y21" s="294">
        <v>2788023</v>
      </c>
      <c r="Z21" s="294">
        <v>1159025</v>
      </c>
      <c r="AA21" s="294">
        <v>0</v>
      </c>
      <c r="AB21" s="294">
        <v>302571</v>
      </c>
      <c r="AC21" s="294">
        <v>0</v>
      </c>
      <c r="AD21" s="294">
        <v>230718</v>
      </c>
      <c r="AE21" s="294">
        <v>0</v>
      </c>
      <c r="AF21" s="294">
        <v>106902</v>
      </c>
      <c r="AG21" s="294">
        <v>7380</v>
      </c>
      <c r="AH21" s="294">
        <v>9145</v>
      </c>
      <c r="AI21" s="294">
        <v>0</v>
      </c>
      <c r="AJ21" s="294">
        <v>0</v>
      </c>
      <c r="AK21" s="294">
        <v>18898</v>
      </c>
      <c r="AL21" s="294">
        <v>2337</v>
      </c>
      <c r="AM21" s="294">
        <v>260</v>
      </c>
      <c r="AN21" s="294">
        <v>6364</v>
      </c>
      <c r="AO21" s="294">
        <v>53782</v>
      </c>
      <c r="AP21" s="294">
        <v>42612</v>
      </c>
      <c r="AQ21" s="294">
        <v>-6128</v>
      </c>
      <c r="AR21" s="294">
        <v>114168</v>
      </c>
      <c r="AS21" s="294">
        <v>8102</v>
      </c>
      <c r="AT21" s="294">
        <v>0</v>
      </c>
      <c r="AU21" s="294">
        <v>7761</v>
      </c>
      <c r="AV21" s="294">
        <v>9471</v>
      </c>
      <c r="AW21" s="294">
        <v>9430</v>
      </c>
      <c r="AX21" s="294">
        <v>75164</v>
      </c>
      <c r="AY21" s="294">
        <v>107407</v>
      </c>
      <c r="AZ21" s="294">
        <v>9444</v>
      </c>
      <c r="BA21" s="294">
        <v>54470</v>
      </c>
      <c r="BB21" s="294">
        <v>386831</v>
      </c>
      <c r="BC21" s="294">
        <v>0</v>
      </c>
      <c r="BD21" s="294">
        <v>0</v>
      </c>
      <c r="BE21" s="294">
        <v>2716114</v>
      </c>
      <c r="BF21" s="294">
        <v>83075</v>
      </c>
      <c r="BG21" s="294">
        <v>71909</v>
      </c>
      <c r="BH21" s="294">
        <v>154984</v>
      </c>
      <c r="BI21" s="294">
        <v>8039</v>
      </c>
      <c r="BJ21" s="294">
        <v>0</v>
      </c>
      <c r="BK21" s="294">
        <v>0</v>
      </c>
      <c r="BL21" s="294">
        <v>8039</v>
      </c>
      <c r="BM21" s="294">
        <v>0</v>
      </c>
      <c r="BN21" s="294">
        <v>0</v>
      </c>
      <c r="BO21" s="294">
        <v>0</v>
      </c>
      <c r="BP21" s="294">
        <v>0</v>
      </c>
      <c r="BQ21" s="294">
        <v>0</v>
      </c>
      <c r="BR21" s="294">
        <v>0</v>
      </c>
      <c r="BS21" s="294">
        <v>8039</v>
      </c>
      <c r="BT21" s="294">
        <v>8039</v>
      </c>
      <c r="BU21" s="294">
        <v>0</v>
      </c>
      <c r="BV21" s="294">
        <v>0</v>
      </c>
      <c r="BW21" s="294">
        <v>0</v>
      </c>
      <c r="BX21" s="294">
        <v>0</v>
      </c>
      <c r="BY21" s="294">
        <v>0</v>
      </c>
      <c r="BZ21" s="294">
        <v>0</v>
      </c>
      <c r="CA21" s="294">
        <v>0</v>
      </c>
      <c r="CB21" s="294">
        <v>0</v>
      </c>
      <c r="CC21" s="294">
        <v>0</v>
      </c>
      <c r="CD21" s="294">
        <v>154984</v>
      </c>
      <c r="CE21" s="294">
        <v>0</v>
      </c>
      <c r="CF21" s="294">
        <v>8039</v>
      </c>
      <c r="CG21" s="294">
        <v>0</v>
      </c>
      <c r="CH21" s="294">
        <v>0</v>
      </c>
      <c r="CI21" s="294">
        <f t="shared" si="0"/>
        <v>163023</v>
      </c>
      <c r="CJ21" s="294">
        <v>356398</v>
      </c>
      <c r="CK21" s="294">
        <v>0</v>
      </c>
      <c r="CL21" s="294">
        <v>0</v>
      </c>
      <c r="CM21" s="294">
        <v>356398</v>
      </c>
      <c r="CN21" s="294">
        <v>0</v>
      </c>
      <c r="CO21" s="294">
        <v>0</v>
      </c>
      <c r="CP21" s="294">
        <v>1695</v>
      </c>
      <c r="CQ21" s="294">
        <v>0</v>
      </c>
      <c r="CR21" s="294">
        <v>0</v>
      </c>
      <c r="CS21" s="294">
        <v>358093</v>
      </c>
      <c r="CT21" s="294">
        <v>0</v>
      </c>
      <c r="CU21" s="294">
        <v>0</v>
      </c>
      <c r="CV21" s="294">
        <v>0</v>
      </c>
      <c r="CW21" s="294">
        <v>0</v>
      </c>
      <c r="CX21" s="294"/>
      <c r="CY21" s="294"/>
      <c r="CZ21" s="294"/>
      <c r="DA21" s="294">
        <v>0</v>
      </c>
      <c r="DB21" s="294">
        <v>0</v>
      </c>
      <c r="DC21" s="294">
        <v>1110</v>
      </c>
      <c r="DD21" s="294">
        <v>3889</v>
      </c>
      <c r="DE21" s="294">
        <v>17499</v>
      </c>
      <c r="DF21" s="294">
        <v>960</v>
      </c>
      <c r="DG21" s="294">
        <v>-27389</v>
      </c>
      <c r="DH21" s="294">
        <v>-15300</v>
      </c>
      <c r="DI21" s="294">
        <v>0</v>
      </c>
      <c r="DJ21" s="294">
        <v>-4605</v>
      </c>
      <c r="DK21" s="294">
        <v>-23836</v>
      </c>
      <c r="DL21" s="294">
        <v>0</v>
      </c>
      <c r="DM21" s="294">
        <v>0</v>
      </c>
      <c r="DN21" s="294">
        <v>-8566</v>
      </c>
      <c r="DO21" s="294">
        <v>-162669</v>
      </c>
      <c r="DP21" s="294">
        <v>0</v>
      </c>
      <c r="DQ21" s="324">
        <v>-0.12</v>
      </c>
      <c r="DR21" s="295">
        <v>1806596</v>
      </c>
      <c r="DS21" s="325">
        <v>909518</v>
      </c>
      <c r="DT21" s="295">
        <v>107407</v>
      </c>
      <c r="DU21" s="295">
        <v>154369</v>
      </c>
      <c r="DV21" s="295">
        <v>0</v>
      </c>
      <c r="DW21" s="295">
        <v>-171235</v>
      </c>
      <c r="DZ21"/>
      <c r="EA21"/>
      <c r="EH21"/>
    </row>
    <row r="22" spans="1:138">
      <c r="A22" s="321">
        <v>2239</v>
      </c>
      <c r="B22" s="322" t="s">
        <v>482</v>
      </c>
      <c r="C22" s="321">
        <v>2239</v>
      </c>
      <c r="D22" s="323" t="s">
        <v>817</v>
      </c>
      <c r="E22" s="323" t="s">
        <v>539</v>
      </c>
      <c r="F22" s="323" t="s">
        <v>818</v>
      </c>
      <c r="G22" s="323" t="s">
        <v>537</v>
      </c>
      <c r="H22" s="294">
        <v>1240610.04</v>
      </c>
      <c r="I22" s="294">
        <v>0</v>
      </c>
      <c r="J22" s="294">
        <v>70377.649999999994</v>
      </c>
      <c r="K22" s="294">
        <v>0</v>
      </c>
      <c r="L22" s="294">
        <v>158873.96</v>
      </c>
      <c r="M22" s="294">
        <v>600</v>
      </c>
      <c r="N22" s="294">
        <v>0</v>
      </c>
      <c r="O22" s="294">
        <v>0</v>
      </c>
      <c r="P22" s="294">
        <v>75481.53</v>
      </c>
      <c r="Q22" s="294">
        <v>27855.53</v>
      </c>
      <c r="R22" s="294">
        <v>0</v>
      </c>
      <c r="S22" s="294">
        <v>0</v>
      </c>
      <c r="T22" s="294">
        <v>83769.189999999886</v>
      </c>
      <c r="U22" s="294">
        <v>65612.710000000006</v>
      </c>
      <c r="V22" s="294">
        <v>0</v>
      </c>
      <c r="W22" s="294">
        <v>2083.75</v>
      </c>
      <c r="X22" s="294">
        <v>61563</v>
      </c>
      <c r="Y22" s="294">
        <v>1786827.3599999999</v>
      </c>
      <c r="Z22" s="294">
        <v>605004.85000000056</v>
      </c>
      <c r="AA22" s="294">
        <v>0</v>
      </c>
      <c r="AB22" s="294">
        <v>373955.64</v>
      </c>
      <c r="AC22" s="294">
        <v>39369.919999999634</v>
      </c>
      <c r="AD22" s="294">
        <v>134665.14000000001</v>
      </c>
      <c r="AE22" s="294">
        <v>0</v>
      </c>
      <c r="AF22" s="294">
        <v>278616.85999999987</v>
      </c>
      <c r="AG22" s="294">
        <v>-8.0035533756017685E-11</v>
      </c>
      <c r="AH22" s="294">
        <v>16</v>
      </c>
      <c r="AI22" s="294">
        <v>0</v>
      </c>
      <c r="AJ22" s="294">
        <v>0</v>
      </c>
      <c r="AK22" s="294">
        <v>-1715.42</v>
      </c>
      <c r="AL22" s="294">
        <v>0</v>
      </c>
      <c r="AM22" s="294">
        <v>433.4</v>
      </c>
      <c r="AN22" s="294">
        <v>3348.67</v>
      </c>
      <c r="AO22" s="294">
        <v>28066.91</v>
      </c>
      <c r="AP22" s="294">
        <v>11105.6</v>
      </c>
      <c r="AQ22" s="294">
        <v>4443.18</v>
      </c>
      <c r="AR22" s="294">
        <v>138463.67000000001</v>
      </c>
      <c r="AS22" s="294">
        <v>160.82999999999998</v>
      </c>
      <c r="AT22" s="294">
        <v>144.23999999999998</v>
      </c>
      <c r="AU22" s="294">
        <v>67490.13</v>
      </c>
      <c r="AV22" s="294">
        <v>5139.75</v>
      </c>
      <c r="AW22" s="294">
        <v>0</v>
      </c>
      <c r="AX22" s="294">
        <v>79804.099999999991</v>
      </c>
      <c r="AY22" s="294">
        <v>38539.589999999997</v>
      </c>
      <c r="AZ22" s="294">
        <v>4186.6899999999996</v>
      </c>
      <c r="BA22" s="294">
        <v>32237.340000000004</v>
      </c>
      <c r="BB22" s="294">
        <v>0</v>
      </c>
      <c r="BC22" s="294">
        <v>0</v>
      </c>
      <c r="BD22" s="294">
        <v>0</v>
      </c>
      <c r="BE22" s="294">
        <v>1843477.0900000003</v>
      </c>
      <c r="BF22" s="294">
        <v>61452.890000000509</v>
      </c>
      <c r="BG22" s="294">
        <v>-56649.730000000447</v>
      </c>
      <c r="BH22" s="294">
        <v>4803.1600000000617</v>
      </c>
      <c r="BI22" s="294">
        <v>6198.25</v>
      </c>
      <c r="BJ22" s="294">
        <v>0</v>
      </c>
      <c r="BK22" s="294">
        <v>0</v>
      </c>
      <c r="BL22" s="294">
        <v>6198.25</v>
      </c>
      <c r="BM22" s="294">
        <v>0</v>
      </c>
      <c r="BN22" s="294">
        <v>6100</v>
      </c>
      <c r="BO22" s="294">
        <v>0</v>
      </c>
      <c r="BP22" s="294">
        <v>0</v>
      </c>
      <c r="BQ22" s="294">
        <v>6100</v>
      </c>
      <c r="BR22" s="294">
        <v>8773.4199999999983</v>
      </c>
      <c r="BS22" s="294">
        <v>98.25</v>
      </c>
      <c r="BT22" s="294">
        <v>8871.6699999999983</v>
      </c>
      <c r="BU22" s="294">
        <v>0</v>
      </c>
      <c r="BV22" s="294">
        <v>0</v>
      </c>
      <c r="BW22" s="294">
        <v>0</v>
      </c>
      <c r="BX22" s="294">
        <v>0</v>
      </c>
      <c r="BY22" s="294">
        <v>0</v>
      </c>
      <c r="BZ22" s="294">
        <v>0</v>
      </c>
      <c r="CA22" s="294">
        <v>0</v>
      </c>
      <c r="CB22" s="294">
        <v>0</v>
      </c>
      <c r="CC22" s="294">
        <v>0</v>
      </c>
      <c r="CD22" s="294">
        <v>4803.1600000000617</v>
      </c>
      <c r="CE22" s="294">
        <v>0</v>
      </c>
      <c r="CF22" s="294">
        <v>8871.6699999999983</v>
      </c>
      <c r="CG22" s="294">
        <v>0</v>
      </c>
      <c r="CH22" s="294">
        <v>0</v>
      </c>
      <c r="CI22" s="294">
        <f t="shared" si="0"/>
        <v>13674.83000000006</v>
      </c>
      <c r="CJ22" s="294">
        <v>148350.37</v>
      </c>
      <c r="CK22" s="294">
        <v>14769.81</v>
      </c>
      <c r="CL22" s="294">
        <v>0</v>
      </c>
      <c r="CM22" s="294">
        <v>133580.56</v>
      </c>
      <c r="CN22" s="294">
        <v>0</v>
      </c>
      <c r="CO22" s="294">
        <v>0</v>
      </c>
      <c r="CP22" s="294">
        <v>5034.8100000000004</v>
      </c>
      <c r="CQ22" s="294">
        <v>0</v>
      </c>
      <c r="CR22" s="294">
        <v>-160228.96000000002</v>
      </c>
      <c r="CS22" s="294">
        <v>-21613.590000000026</v>
      </c>
      <c r="CT22" s="294">
        <v>0</v>
      </c>
      <c r="CU22" s="294">
        <v>0</v>
      </c>
      <c r="CV22" s="294">
        <v>0</v>
      </c>
      <c r="CW22" s="294">
        <v>0</v>
      </c>
      <c r="CX22" s="294"/>
      <c r="CY22" s="294"/>
      <c r="CZ22" s="294"/>
      <c r="DA22" s="294">
        <v>0</v>
      </c>
      <c r="DB22" s="294">
        <v>0</v>
      </c>
      <c r="DC22" s="294">
        <v>55000</v>
      </c>
      <c r="DD22" s="294">
        <v>2861.87</v>
      </c>
      <c r="DE22" s="294">
        <v>0</v>
      </c>
      <c r="DF22" s="294">
        <v>0</v>
      </c>
      <c r="DG22" s="294">
        <v>-22572.959999999999</v>
      </c>
      <c r="DH22" s="294">
        <v>0</v>
      </c>
      <c r="DI22" s="294">
        <v>0</v>
      </c>
      <c r="DJ22" s="294">
        <v>0</v>
      </c>
      <c r="DK22" s="294">
        <v>35288.910000000003</v>
      </c>
      <c r="DL22" s="294">
        <v>0</v>
      </c>
      <c r="DM22" s="294">
        <v>0</v>
      </c>
      <c r="DN22" s="294">
        <v>0</v>
      </c>
      <c r="DO22" s="294">
        <v>0</v>
      </c>
      <c r="DP22" s="294">
        <v>0</v>
      </c>
      <c r="DQ22" s="324">
        <v>-0.19000000011874363</v>
      </c>
      <c r="DR22" s="295">
        <v>1431612.4100000001</v>
      </c>
      <c r="DS22" s="325">
        <v>411864.68000000017</v>
      </c>
      <c r="DT22" s="295">
        <v>38539.589999999997</v>
      </c>
      <c r="DU22" s="295">
        <v>187106.24999999988</v>
      </c>
      <c r="DV22" s="295">
        <v>65612.710000000006</v>
      </c>
      <c r="DW22" s="295">
        <v>0</v>
      </c>
      <c r="DZ22"/>
      <c r="EA22"/>
      <c r="EH22"/>
    </row>
    <row r="23" spans="1:138">
      <c r="A23" s="321">
        <v>2241</v>
      </c>
      <c r="B23" s="322" t="s">
        <v>401</v>
      </c>
      <c r="C23" s="321">
        <v>2241</v>
      </c>
      <c r="D23" s="323" t="s">
        <v>817</v>
      </c>
      <c r="E23" s="323" t="s">
        <v>539</v>
      </c>
      <c r="F23" s="323" t="s">
        <v>818</v>
      </c>
      <c r="G23" s="323" t="s">
        <v>537</v>
      </c>
      <c r="H23" s="294">
        <v>1521367.2</v>
      </c>
      <c r="I23" s="294">
        <v>0</v>
      </c>
      <c r="J23" s="294">
        <v>62904.88</v>
      </c>
      <c r="K23" s="294">
        <v>0</v>
      </c>
      <c r="L23" s="294">
        <v>209430</v>
      </c>
      <c r="M23" s="294">
        <v>66976.73</v>
      </c>
      <c r="N23" s="294">
        <v>0</v>
      </c>
      <c r="O23" s="294">
        <v>0</v>
      </c>
      <c r="P23" s="294">
        <v>104243.98999999996</v>
      </c>
      <c r="Q23" s="294">
        <v>25508.39</v>
      </c>
      <c r="R23" s="294">
        <v>0</v>
      </c>
      <c r="S23" s="294">
        <v>0</v>
      </c>
      <c r="T23" s="294">
        <v>719.35</v>
      </c>
      <c r="U23" s="294">
        <v>0</v>
      </c>
      <c r="V23" s="294">
        <v>0</v>
      </c>
      <c r="W23" s="294">
        <v>13422.08</v>
      </c>
      <c r="X23" s="294">
        <v>18555</v>
      </c>
      <c r="Y23" s="294">
        <v>2023127.6199999999</v>
      </c>
      <c r="Z23" s="294">
        <v>957971.24999999977</v>
      </c>
      <c r="AA23" s="294">
        <v>5037.67</v>
      </c>
      <c r="AB23" s="294">
        <v>383458.39</v>
      </c>
      <c r="AC23" s="294">
        <v>64133.970000000205</v>
      </c>
      <c r="AD23" s="294">
        <v>148734.24</v>
      </c>
      <c r="AE23" s="294">
        <v>0</v>
      </c>
      <c r="AF23" s="294">
        <v>60331.050000000221</v>
      </c>
      <c r="AG23" s="294">
        <v>26115.359999999979</v>
      </c>
      <c r="AH23" s="294">
        <v>4415.74</v>
      </c>
      <c r="AI23" s="294">
        <v>0</v>
      </c>
      <c r="AJ23" s="294">
        <v>0</v>
      </c>
      <c r="AK23" s="294">
        <v>15564.039999999999</v>
      </c>
      <c r="AL23" s="294">
        <v>16394.75</v>
      </c>
      <c r="AM23" s="294">
        <v>18106.830000000002</v>
      </c>
      <c r="AN23" s="294">
        <v>2831.1699999999987</v>
      </c>
      <c r="AO23" s="294">
        <v>47303.069999999992</v>
      </c>
      <c r="AP23" s="294">
        <v>14721.39</v>
      </c>
      <c r="AQ23" s="294">
        <v>12863.670000000002</v>
      </c>
      <c r="AR23" s="294">
        <v>112974.59999999998</v>
      </c>
      <c r="AS23" s="294">
        <v>17656.829999999998</v>
      </c>
      <c r="AT23" s="294">
        <v>96.159999999999982</v>
      </c>
      <c r="AU23" s="294">
        <v>73515.449999999968</v>
      </c>
      <c r="AV23" s="294">
        <v>5139.75</v>
      </c>
      <c r="AW23" s="294">
        <v>3450</v>
      </c>
      <c r="AX23" s="294">
        <v>82179.440000000017</v>
      </c>
      <c r="AY23" s="294">
        <v>20678.139999999996</v>
      </c>
      <c r="AZ23" s="294">
        <v>6142.15</v>
      </c>
      <c r="BA23" s="294">
        <v>168677.79999999993</v>
      </c>
      <c r="BB23" s="294">
        <v>0</v>
      </c>
      <c r="BC23" s="294">
        <v>0</v>
      </c>
      <c r="BD23" s="294">
        <v>0</v>
      </c>
      <c r="BE23" s="294">
        <v>2268492.9099999997</v>
      </c>
      <c r="BF23" s="294">
        <v>186943.56</v>
      </c>
      <c r="BG23" s="294">
        <v>-245365.2899999998</v>
      </c>
      <c r="BH23" s="294">
        <v>-58421.729999999807</v>
      </c>
      <c r="BI23" s="294">
        <v>7037.5</v>
      </c>
      <c r="BJ23" s="294">
        <v>0</v>
      </c>
      <c r="BK23" s="294">
        <v>0</v>
      </c>
      <c r="BL23" s="294">
        <v>7037.5</v>
      </c>
      <c r="BM23" s="294">
        <v>0</v>
      </c>
      <c r="BN23" s="294">
        <v>0</v>
      </c>
      <c r="BO23" s="294">
        <v>15026.34</v>
      </c>
      <c r="BP23" s="294">
        <v>0</v>
      </c>
      <c r="BQ23" s="294">
        <v>15026.34</v>
      </c>
      <c r="BR23" s="294">
        <v>20714.71</v>
      </c>
      <c r="BS23" s="294">
        <v>-7988.84</v>
      </c>
      <c r="BT23" s="294">
        <v>12725.869999999999</v>
      </c>
      <c r="BU23" s="294">
        <v>0</v>
      </c>
      <c r="BV23" s="294">
        <v>0</v>
      </c>
      <c r="BW23" s="294">
        <v>0</v>
      </c>
      <c r="BX23" s="294">
        <v>0</v>
      </c>
      <c r="BY23" s="294">
        <v>0</v>
      </c>
      <c r="BZ23" s="294">
        <v>0</v>
      </c>
      <c r="CA23" s="294">
        <v>0</v>
      </c>
      <c r="CB23" s="294">
        <v>0</v>
      </c>
      <c r="CC23" s="294">
        <v>0</v>
      </c>
      <c r="CD23" s="294">
        <v>-58421.729999999807</v>
      </c>
      <c r="CE23" s="294">
        <v>0</v>
      </c>
      <c r="CF23" s="294">
        <v>12725.869999999999</v>
      </c>
      <c r="CG23" s="294">
        <v>0</v>
      </c>
      <c r="CH23" s="294">
        <v>0</v>
      </c>
      <c r="CI23" s="294">
        <f t="shared" si="0"/>
        <v>-45695.859999999811</v>
      </c>
      <c r="CJ23" s="294">
        <v>157094</v>
      </c>
      <c r="CK23" s="294">
        <v>0</v>
      </c>
      <c r="CL23" s="294">
        <v>0</v>
      </c>
      <c r="CM23" s="294">
        <v>157094</v>
      </c>
      <c r="CN23" s="294">
        <v>0</v>
      </c>
      <c r="CO23" s="294">
        <v>0</v>
      </c>
      <c r="CP23" s="294">
        <v>3984</v>
      </c>
      <c r="CQ23" s="294">
        <v>0</v>
      </c>
      <c r="CR23" s="294">
        <v>-184191.84</v>
      </c>
      <c r="CS23" s="294">
        <v>-23113.839999999997</v>
      </c>
      <c r="CT23" s="294">
        <v>0</v>
      </c>
      <c r="CU23" s="294">
        <v>0</v>
      </c>
      <c r="CV23" s="294">
        <v>0</v>
      </c>
      <c r="CW23" s="294">
        <v>0</v>
      </c>
      <c r="CX23" s="294"/>
      <c r="CY23" s="294"/>
      <c r="CZ23" s="294"/>
      <c r="DA23" s="294">
        <v>0</v>
      </c>
      <c r="DB23" s="294">
        <v>0</v>
      </c>
      <c r="DC23" s="294">
        <v>1913.16</v>
      </c>
      <c r="DD23" s="294">
        <v>7160.15</v>
      </c>
      <c r="DE23" s="294">
        <v>0</v>
      </c>
      <c r="DF23" s="294">
        <v>0</v>
      </c>
      <c r="DG23" s="294">
        <v>-31655.33</v>
      </c>
      <c r="DH23" s="294">
        <v>0</v>
      </c>
      <c r="DI23" s="294">
        <v>0</v>
      </c>
      <c r="DJ23" s="294">
        <v>0</v>
      </c>
      <c r="DK23" s="294">
        <v>-22582.020000000004</v>
      </c>
      <c r="DL23" s="294">
        <v>0</v>
      </c>
      <c r="DM23" s="294">
        <v>0</v>
      </c>
      <c r="DN23" s="294">
        <v>0</v>
      </c>
      <c r="DO23" s="294">
        <v>0</v>
      </c>
      <c r="DP23" s="294">
        <v>0</v>
      </c>
      <c r="DQ23" s="324"/>
      <c r="DR23" s="295">
        <v>1645781.9300000002</v>
      </c>
      <c r="DS23" s="325">
        <v>622710.97999999952</v>
      </c>
      <c r="DT23" s="295">
        <v>20678.139999999996</v>
      </c>
      <c r="DU23" s="295">
        <v>130471.72999999997</v>
      </c>
      <c r="DV23" s="295">
        <v>0</v>
      </c>
      <c r="DW23" s="295">
        <v>0</v>
      </c>
      <c r="DZ23"/>
      <c r="EA23"/>
      <c r="EH23"/>
    </row>
    <row r="24" spans="1:138">
      <c r="A24" s="321">
        <v>2456</v>
      </c>
      <c r="B24" s="322" t="s">
        <v>402</v>
      </c>
      <c r="C24" s="321">
        <v>2456</v>
      </c>
      <c r="D24" s="323" t="s">
        <v>817</v>
      </c>
      <c r="E24" s="323" t="s">
        <v>539</v>
      </c>
      <c r="F24" s="323" t="s">
        <v>818</v>
      </c>
      <c r="G24" s="323" t="s">
        <v>800</v>
      </c>
      <c r="H24" s="294">
        <v>1318213.93</v>
      </c>
      <c r="I24" s="294">
        <v>0</v>
      </c>
      <c r="J24" s="294">
        <v>80611.509999999995</v>
      </c>
      <c r="K24" s="294">
        <v>0</v>
      </c>
      <c r="L24" s="294">
        <v>120970</v>
      </c>
      <c r="M24" s="294">
        <v>1400</v>
      </c>
      <c r="N24" s="294">
        <v>0</v>
      </c>
      <c r="O24" s="294">
        <v>0</v>
      </c>
      <c r="P24" s="294">
        <v>45168.44999999999</v>
      </c>
      <c r="Q24" s="294">
        <v>0</v>
      </c>
      <c r="R24" s="294">
        <v>0</v>
      </c>
      <c r="S24" s="294">
        <v>0</v>
      </c>
      <c r="T24" s="294">
        <v>15672.05</v>
      </c>
      <c r="U24" s="294">
        <v>0</v>
      </c>
      <c r="V24" s="294">
        <v>0</v>
      </c>
      <c r="W24" s="294">
        <v>3772.92</v>
      </c>
      <c r="X24" s="294">
        <v>45724</v>
      </c>
      <c r="Y24" s="294">
        <v>1631532.8599999999</v>
      </c>
      <c r="Z24" s="294">
        <v>687975.06000000075</v>
      </c>
      <c r="AA24" s="294">
        <v>101682</v>
      </c>
      <c r="AB24" s="294">
        <v>246066.9</v>
      </c>
      <c r="AC24" s="294">
        <v>61008.000000000233</v>
      </c>
      <c r="AD24" s="294">
        <v>149155</v>
      </c>
      <c r="AE24" s="294">
        <v>36512</v>
      </c>
      <c r="AF24" s="294">
        <v>35683.999999999884</v>
      </c>
      <c r="AG24" s="294">
        <v>516.00000000002183</v>
      </c>
      <c r="AH24" s="294">
        <v>7357</v>
      </c>
      <c r="AI24" s="294">
        <v>0</v>
      </c>
      <c r="AJ24" s="294">
        <v>0</v>
      </c>
      <c r="AK24" s="294">
        <v>6462.4600000000009</v>
      </c>
      <c r="AL24" s="294">
        <v>183.74</v>
      </c>
      <c r="AM24" s="294">
        <v>767.95</v>
      </c>
      <c r="AN24" s="294">
        <v>4250</v>
      </c>
      <c r="AO24" s="294">
        <v>39310</v>
      </c>
      <c r="AP24" s="294">
        <v>43724.74</v>
      </c>
      <c r="AQ24" s="294">
        <v>30469</v>
      </c>
      <c r="AR24" s="294">
        <v>88260.87</v>
      </c>
      <c r="AS24" s="294">
        <v>11012.89</v>
      </c>
      <c r="AT24" s="294">
        <v>0</v>
      </c>
      <c r="AU24" s="294">
        <v>5790.0000000000146</v>
      </c>
      <c r="AV24" s="294">
        <v>5789.75</v>
      </c>
      <c r="AW24" s="294">
        <v>1610</v>
      </c>
      <c r="AX24" s="294">
        <v>33861</v>
      </c>
      <c r="AY24" s="294">
        <v>0</v>
      </c>
      <c r="AZ24" s="294">
        <v>5014</v>
      </c>
      <c r="BA24" s="294">
        <v>70391.100000000006</v>
      </c>
      <c r="BB24" s="294">
        <v>0</v>
      </c>
      <c r="BC24" s="294">
        <v>0</v>
      </c>
      <c r="BD24" s="294">
        <v>0</v>
      </c>
      <c r="BE24" s="294">
        <v>1672853.4600000007</v>
      </c>
      <c r="BF24" s="294">
        <v>-107227.38000000012</v>
      </c>
      <c r="BG24" s="294">
        <v>-41320.600000000792</v>
      </c>
      <c r="BH24" s="294">
        <v>-148547.98000000091</v>
      </c>
      <c r="BI24" s="294">
        <v>6238.75</v>
      </c>
      <c r="BJ24" s="294">
        <v>0</v>
      </c>
      <c r="BK24" s="294">
        <v>0</v>
      </c>
      <c r="BL24" s="294">
        <v>6238.75</v>
      </c>
      <c r="BM24" s="294">
        <v>0</v>
      </c>
      <c r="BN24" s="294">
        <v>5547.2300000000005</v>
      </c>
      <c r="BO24" s="294">
        <v>0</v>
      </c>
      <c r="BP24" s="294">
        <v>0</v>
      </c>
      <c r="BQ24" s="294">
        <v>5547.2300000000005</v>
      </c>
      <c r="BR24" s="294">
        <v>3338.75</v>
      </c>
      <c r="BS24" s="294">
        <v>691.51999999999953</v>
      </c>
      <c r="BT24" s="294">
        <v>4030.2699999999995</v>
      </c>
      <c r="BU24" s="294">
        <v>0</v>
      </c>
      <c r="BV24" s="294">
        <v>0</v>
      </c>
      <c r="BW24" s="294">
        <v>0</v>
      </c>
      <c r="BX24" s="294">
        <v>0</v>
      </c>
      <c r="BY24" s="294">
        <v>0</v>
      </c>
      <c r="BZ24" s="294">
        <v>0</v>
      </c>
      <c r="CA24" s="294">
        <v>0</v>
      </c>
      <c r="CB24" s="294">
        <v>0</v>
      </c>
      <c r="CC24" s="294">
        <v>0</v>
      </c>
      <c r="CD24" s="294">
        <v>-148547.98000000001</v>
      </c>
      <c r="CE24" s="294">
        <v>0</v>
      </c>
      <c r="CF24" s="294">
        <v>4030.27</v>
      </c>
      <c r="CG24" s="294">
        <v>0</v>
      </c>
      <c r="CH24" s="294">
        <v>0</v>
      </c>
      <c r="CI24" s="294">
        <f t="shared" si="0"/>
        <v>-144517.71000000002</v>
      </c>
      <c r="CJ24" s="294">
        <v>2000</v>
      </c>
      <c r="CK24" s="294">
        <v>0</v>
      </c>
      <c r="CL24" s="294">
        <v>0</v>
      </c>
      <c r="CM24" s="294">
        <v>2000</v>
      </c>
      <c r="CN24" s="294">
        <v>-2000</v>
      </c>
      <c r="CO24" s="294">
        <v>0</v>
      </c>
      <c r="CP24" s="294">
        <v>0</v>
      </c>
      <c r="CQ24" s="294">
        <v>0</v>
      </c>
      <c r="CR24" s="294">
        <v>0</v>
      </c>
      <c r="CS24" s="294">
        <v>0</v>
      </c>
      <c r="CT24" s="294">
        <v>0</v>
      </c>
      <c r="CU24" s="294">
        <v>0</v>
      </c>
      <c r="CV24" s="294">
        <v>0</v>
      </c>
      <c r="CW24" s="294">
        <v>0</v>
      </c>
      <c r="CX24" s="294"/>
      <c r="CY24" s="294"/>
      <c r="CZ24" s="294"/>
      <c r="DA24" s="294">
        <v>-145059.10000000094</v>
      </c>
      <c r="DB24" s="294">
        <v>-145059.10000000094</v>
      </c>
      <c r="DC24" s="294">
        <v>0</v>
      </c>
      <c r="DD24" s="294">
        <v>541.39</v>
      </c>
      <c r="DE24" s="294">
        <v>0</v>
      </c>
      <c r="DF24" s="294">
        <v>0</v>
      </c>
      <c r="DG24" s="294">
        <v>0</v>
      </c>
      <c r="DH24" s="294">
        <v>0</v>
      </c>
      <c r="DI24" s="294">
        <v>0</v>
      </c>
      <c r="DJ24" s="294">
        <v>0</v>
      </c>
      <c r="DK24" s="294">
        <v>541.39</v>
      </c>
      <c r="DL24" s="294">
        <v>0</v>
      </c>
      <c r="DM24" s="294">
        <v>0</v>
      </c>
      <c r="DN24" s="294">
        <v>0</v>
      </c>
      <c r="DO24" s="294">
        <v>0</v>
      </c>
      <c r="DP24" s="294">
        <v>0</v>
      </c>
      <c r="DQ24" s="324">
        <v>9.0221874415874481E-10</v>
      </c>
      <c r="DR24" s="295">
        <v>1318598.9600000009</v>
      </c>
      <c r="DS24" s="325">
        <v>354254.49999999977</v>
      </c>
      <c r="DT24" s="295">
        <v>0</v>
      </c>
      <c r="DU24" s="295">
        <v>60840.499999999985</v>
      </c>
      <c r="DV24" s="295">
        <v>0</v>
      </c>
      <c r="DW24" s="295">
        <v>0</v>
      </c>
      <c r="DZ24"/>
      <c r="EA24"/>
      <c r="EH24"/>
    </row>
    <row r="25" spans="1:138">
      <c r="A25" s="321">
        <v>5413</v>
      </c>
      <c r="B25" s="322" t="s">
        <v>334</v>
      </c>
      <c r="C25" s="321">
        <v>5413</v>
      </c>
      <c r="D25" s="323" t="s">
        <v>817</v>
      </c>
      <c r="E25" s="323" t="s">
        <v>543</v>
      </c>
      <c r="F25" s="323" t="s">
        <v>818</v>
      </c>
      <c r="G25" s="323" t="s">
        <v>537</v>
      </c>
      <c r="H25" s="294">
        <v>8662375</v>
      </c>
      <c r="I25" s="294">
        <v>0</v>
      </c>
      <c r="J25" s="294">
        <v>76477</v>
      </c>
      <c r="K25" s="294">
        <v>0</v>
      </c>
      <c r="L25" s="294">
        <v>381270</v>
      </c>
      <c r="M25" s="294">
        <v>9871.9999999999982</v>
      </c>
      <c r="N25" s="294">
        <v>101286.65</v>
      </c>
      <c r="O25" s="294">
        <v>0</v>
      </c>
      <c r="P25" s="294">
        <v>3296019.66</v>
      </c>
      <c r="Q25" s="294">
        <v>296187</v>
      </c>
      <c r="R25" s="294">
        <v>0</v>
      </c>
      <c r="S25" s="294">
        <v>0</v>
      </c>
      <c r="T25" s="294">
        <v>345403</v>
      </c>
      <c r="U25" s="294">
        <v>0</v>
      </c>
      <c r="V25" s="294">
        <v>0</v>
      </c>
      <c r="W25" s="294">
        <v>0</v>
      </c>
      <c r="X25" s="294">
        <v>0</v>
      </c>
      <c r="Y25" s="294">
        <v>13168890.310000001</v>
      </c>
      <c r="Z25" s="294">
        <v>6595702</v>
      </c>
      <c r="AA25" s="294">
        <v>0</v>
      </c>
      <c r="AB25" s="294">
        <v>1114431</v>
      </c>
      <c r="AC25" s="294">
        <v>477713</v>
      </c>
      <c r="AD25" s="294">
        <v>1301372</v>
      </c>
      <c r="AE25" s="294">
        <v>279538</v>
      </c>
      <c r="AF25" s="294">
        <v>0</v>
      </c>
      <c r="AG25" s="294">
        <v>31724</v>
      </c>
      <c r="AH25" s="294">
        <v>9208</v>
      </c>
      <c r="AI25" s="294">
        <v>0</v>
      </c>
      <c r="AJ25" s="294">
        <v>0</v>
      </c>
      <c r="AK25" s="294">
        <v>160743</v>
      </c>
      <c r="AL25" s="294">
        <v>0</v>
      </c>
      <c r="AM25" s="294">
        <v>14412</v>
      </c>
      <c r="AN25" s="294">
        <v>4804</v>
      </c>
      <c r="AO25" s="294">
        <v>219098</v>
      </c>
      <c r="AP25" s="294">
        <v>82149.5</v>
      </c>
      <c r="AQ25" s="294">
        <v>59565</v>
      </c>
      <c r="AR25" s="294">
        <v>1567320</v>
      </c>
      <c r="AS25" s="294">
        <v>108555</v>
      </c>
      <c r="AT25" s="294">
        <v>155489</v>
      </c>
      <c r="AU25" s="294">
        <v>262355</v>
      </c>
      <c r="AV25" s="294">
        <v>27044</v>
      </c>
      <c r="AW25" s="294">
        <v>0</v>
      </c>
      <c r="AX25" s="294">
        <v>290140</v>
      </c>
      <c r="AY25" s="294">
        <v>132125</v>
      </c>
      <c r="AZ25" s="294">
        <v>206849.65</v>
      </c>
      <c r="BA25" s="294">
        <v>92620</v>
      </c>
      <c r="BB25" s="294">
        <v>0</v>
      </c>
      <c r="BC25" s="294">
        <v>0</v>
      </c>
      <c r="BD25" s="294">
        <v>0</v>
      </c>
      <c r="BE25" s="294">
        <v>13192957.15</v>
      </c>
      <c r="BF25" s="294">
        <v>272195.22000000061</v>
      </c>
      <c r="BG25" s="294">
        <v>-24066.839999999851</v>
      </c>
      <c r="BH25" s="294">
        <v>248128.38000000076</v>
      </c>
      <c r="BI25" s="294">
        <v>0</v>
      </c>
      <c r="BJ25" s="294">
        <v>0</v>
      </c>
      <c r="BK25" s="294">
        <v>0</v>
      </c>
      <c r="BL25" s="294">
        <v>0</v>
      </c>
      <c r="BM25" s="294">
        <v>0</v>
      </c>
      <c r="BN25" s="294">
        <v>0</v>
      </c>
      <c r="BO25" s="294">
        <v>0</v>
      </c>
      <c r="BP25" s="294">
        <v>0</v>
      </c>
      <c r="BQ25" s="294">
        <v>0</v>
      </c>
      <c r="BR25" s="294">
        <v>0</v>
      </c>
      <c r="BS25" s="294">
        <v>0</v>
      </c>
      <c r="BT25" s="294">
        <v>0</v>
      </c>
      <c r="BU25" s="294">
        <v>0</v>
      </c>
      <c r="BV25" s="294">
        <v>0</v>
      </c>
      <c r="BW25" s="294">
        <v>0</v>
      </c>
      <c r="BX25" s="294">
        <v>0</v>
      </c>
      <c r="BY25" s="294">
        <v>0</v>
      </c>
      <c r="BZ25" s="294">
        <v>0</v>
      </c>
      <c r="CA25" s="294">
        <v>0</v>
      </c>
      <c r="CB25" s="294">
        <v>0</v>
      </c>
      <c r="CC25" s="294">
        <v>0</v>
      </c>
      <c r="CD25" s="294">
        <v>248128.38000000076</v>
      </c>
      <c r="CE25" s="294">
        <v>0</v>
      </c>
      <c r="CF25" s="294">
        <v>0</v>
      </c>
      <c r="CG25" s="294">
        <v>0</v>
      </c>
      <c r="CH25" s="294">
        <v>0</v>
      </c>
      <c r="CI25" s="294">
        <f t="shared" si="0"/>
        <v>248128.38000000076</v>
      </c>
      <c r="CJ25" s="294">
        <v>1367591.04</v>
      </c>
      <c r="CK25" s="294">
        <v>829226.07</v>
      </c>
      <c r="CL25" s="294">
        <v>0</v>
      </c>
      <c r="CM25" s="294">
        <v>538364.97000000009</v>
      </c>
      <c r="CN25" s="294">
        <v>0</v>
      </c>
      <c r="CO25" s="294">
        <v>0</v>
      </c>
      <c r="CP25" s="294">
        <v>17760.490000000002</v>
      </c>
      <c r="CQ25" s="294">
        <v>6522.22</v>
      </c>
      <c r="CR25" s="294">
        <v>0</v>
      </c>
      <c r="CS25" s="294">
        <v>562647.68000000005</v>
      </c>
      <c r="CT25" s="294">
        <v>1016.61</v>
      </c>
      <c r="CU25" s="294">
        <v>0</v>
      </c>
      <c r="CV25" s="294">
        <v>0</v>
      </c>
      <c r="CW25" s="294">
        <v>1016.61</v>
      </c>
      <c r="CX25" s="294"/>
      <c r="CY25" s="294"/>
      <c r="CZ25" s="294"/>
      <c r="DA25" s="294">
        <v>0</v>
      </c>
      <c r="DB25" s="294">
        <v>1016.61</v>
      </c>
      <c r="DC25" s="294">
        <v>0</v>
      </c>
      <c r="DD25" s="294">
        <v>10243.66</v>
      </c>
      <c r="DE25" s="294">
        <v>0</v>
      </c>
      <c r="DF25" s="294">
        <v>0</v>
      </c>
      <c r="DG25" s="294">
        <v>-325779.5</v>
      </c>
      <c r="DH25" s="294">
        <v>0</v>
      </c>
      <c r="DI25" s="294">
        <v>0</v>
      </c>
      <c r="DJ25" s="294">
        <v>0</v>
      </c>
      <c r="DK25" s="294">
        <v>-315535.84000000003</v>
      </c>
      <c r="DL25" s="294">
        <v>0</v>
      </c>
      <c r="DM25" s="294">
        <v>0</v>
      </c>
      <c r="DN25" s="294">
        <v>0</v>
      </c>
      <c r="DO25" s="294">
        <v>0</v>
      </c>
      <c r="DP25" s="294">
        <v>0</v>
      </c>
      <c r="DQ25" s="324"/>
      <c r="DR25" s="295">
        <v>9800480</v>
      </c>
      <c r="DS25" s="325">
        <v>3392477.1500000004</v>
      </c>
      <c r="DT25" s="295">
        <v>132125</v>
      </c>
      <c r="DU25" s="295">
        <v>3937609.66</v>
      </c>
      <c r="DV25" s="295">
        <v>0</v>
      </c>
      <c r="DW25" s="295">
        <v>0</v>
      </c>
      <c r="DZ25"/>
      <c r="EA25"/>
      <c r="EH25"/>
    </row>
    <row r="26" spans="1:138">
      <c r="A26" s="321">
        <v>2254</v>
      </c>
      <c r="B26" s="322" t="s">
        <v>403</v>
      </c>
      <c r="C26" s="321">
        <v>2254</v>
      </c>
      <c r="D26" s="323" t="s">
        <v>817</v>
      </c>
      <c r="E26" s="323" t="s">
        <v>539</v>
      </c>
      <c r="F26" s="323" t="s">
        <v>818</v>
      </c>
      <c r="G26" s="323" t="s">
        <v>800</v>
      </c>
      <c r="H26" s="294">
        <v>3350420.41</v>
      </c>
      <c r="I26" s="294">
        <v>0</v>
      </c>
      <c r="J26" s="294">
        <v>227321.60000000001</v>
      </c>
      <c r="K26" s="294">
        <v>0</v>
      </c>
      <c r="L26" s="294">
        <v>386350</v>
      </c>
      <c r="M26" s="294">
        <v>10370.790000000001</v>
      </c>
      <c r="N26" s="294">
        <v>0</v>
      </c>
      <c r="O26" s="294">
        <v>0</v>
      </c>
      <c r="P26" s="294">
        <v>50583.86</v>
      </c>
      <c r="Q26" s="294">
        <v>2653.4400000000023</v>
      </c>
      <c r="R26" s="294">
        <v>0</v>
      </c>
      <c r="S26" s="294">
        <v>0</v>
      </c>
      <c r="T26" s="294">
        <v>0</v>
      </c>
      <c r="U26" s="294">
        <v>233</v>
      </c>
      <c r="V26" s="294">
        <v>0</v>
      </c>
      <c r="W26" s="294">
        <v>-959.69</v>
      </c>
      <c r="X26" s="294">
        <v>89294</v>
      </c>
      <c r="Y26" s="294">
        <v>4116267.41</v>
      </c>
      <c r="Z26" s="294">
        <v>1626713.6199999959</v>
      </c>
      <c r="AA26" s="294">
        <v>-20058.759999999995</v>
      </c>
      <c r="AB26" s="294">
        <v>-35500.919999999962</v>
      </c>
      <c r="AC26" s="294">
        <v>658381.66000000073</v>
      </c>
      <c r="AD26" s="294">
        <v>0</v>
      </c>
      <c r="AE26" s="294">
        <v>0</v>
      </c>
      <c r="AF26" s="294">
        <v>894882.38000000024</v>
      </c>
      <c r="AG26" s="294">
        <v>63392.089999999953</v>
      </c>
      <c r="AH26" s="294">
        <v>0</v>
      </c>
      <c r="AI26" s="294">
        <v>0</v>
      </c>
      <c r="AJ26" s="294">
        <v>0</v>
      </c>
      <c r="AK26" s="294">
        <v>19595.29</v>
      </c>
      <c r="AL26" s="294">
        <v>0</v>
      </c>
      <c r="AM26" s="294">
        <v>0</v>
      </c>
      <c r="AN26" s="294">
        <v>0</v>
      </c>
      <c r="AO26" s="294">
        <v>73306.229999999981</v>
      </c>
      <c r="AP26" s="294">
        <v>74230.259999999995</v>
      </c>
      <c r="AQ26" s="294">
        <v>6611.21</v>
      </c>
      <c r="AR26" s="294">
        <v>47423.870000000024</v>
      </c>
      <c r="AS26" s="294">
        <v>39.94</v>
      </c>
      <c r="AT26" s="294">
        <v>0</v>
      </c>
      <c r="AU26" s="294">
        <v>136603.18</v>
      </c>
      <c r="AV26" s="294">
        <v>12566.4</v>
      </c>
      <c r="AW26" s="294">
        <v>6104</v>
      </c>
      <c r="AX26" s="294">
        <v>332096.43000000005</v>
      </c>
      <c r="AY26" s="294">
        <v>496770.59999999957</v>
      </c>
      <c r="AZ26" s="294">
        <v>13387.38</v>
      </c>
      <c r="BA26" s="294">
        <v>129006.4400000001</v>
      </c>
      <c r="BB26" s="294">
        <v>207078</v>
      </c>
      <c r="BC26" s="294">
        <v>0</v>
      </c>
      <c r="BD26" s="294">
        <v>0</v>
      </c>
      <c r="BE26" s="294">
        <v>4742629.299999997</v>
      </c>
      <c r="BF26" s="294">
        <v>-864970.33000000031</v>
      </c>
      <c r="BG26" s="294">
        <v>-626361.88999999687</v>
      </c>
      <c r="BH26" s="294">
        <v>-1491332.2199999972</v>
      </c>
      <c r="BI26" s="294">
        <v>10300</v>
      </c>
      <c r="BJ26" s="294">
        <v>0</v>
      </c>
      <c r="BK26" s="294">
        <v>0</v>
      </c>
      <c r="BL26" s="294">
        <v>10300</v>
      </c>
      <c r="BM26" s="294">
        <v>0</v>
      </c>
      <c r="BN26" s="294">
        <v>0</v>
      </c>
      <c r="BO26" s="294">
        <v>0</v>
      </c>
      <c r="BP26" s="294">
        <v>0</v>
      </c>
      <c r="BQ26" s="294">
        <v>0</v>
      </c>
      <c r="BR26" s="294">
        <v>0</v>
      </c>
      <c r="BS26" s="294">
        <v>10300</v>
      </c>
      <c r="BT26" s="294">
        <v>10300</v>
      </c>
      <c r="BU26" s="294">
        <v>0</v>
      </c>
      <c r="BV26" s="294">
        <v>0</v>
      </c>
      <c r="BW26" s="294">
        <v>0</v>
      </c>
      <c r="BX26" s="294">
        <v>0</v>
      </c>
      <c r="BY26" s="294">
        <v>0</v>
      </c>
      <c r="BZ26" s="294">
        <v>0</v>
      </c>
      <c r="CA26" s="294">
        <v>0</v>
      </c>
      <c r="CB26" s="294">
        <v>0</v>
      </c>
      <c r="CC26" s="294">
        <v>0</v>
      </c>
      <c r="CD26" s="294">
        <v>-1491332.2199999972</v>
      </c>
      <c r="CE26" s="294">
        <v>0</v>
      </c>
      <c r="CF26" s="294">
        <v>10300</v>
      </c>
      <c r="CG26" s="294">
        <v>0</v>
      </c>
      <c r="CH26" s="294">
        <v>0</v>
      </c>
      <c r="CI26" s="294">
        <f t="shared" si="0"/>
        <v>-1481032.2199999972</v>
      </c>
      <c r="CJ26" s="294">
        <v>0</v>
      </c>
      <c r="CK26" s="294">
        <v>0</v>
      </c>
      <c r="CL26" s="294">
        <v>0</v>
      </c>
      <c r="CM26" s="294">
        <v>0</v>
      </c>
      <c r="CN26" s="294">
        <v>0</v>
      </c>
      <c r="CO26" s="294">
        <v>0</v>
      </c>
      <c r="CP26" s="294">
        <v>0</v>
      </c>
      <c r="CQ26" s="294">
        <v>0</v>
      </c>
      <c r="CR26" s="294">
        <v>0</v>
      </c>
      <c r="CS26" s="294">
        <v>0</v>
      </c>
      <c r="CT26" s="294">
        <v>0</v>
      </c>
      <c r="CU26" s="294">
        <v>0</v>
      </c>
      <c r="CV26" s="294">
        <v>0</v>
      </c>
      <c r="CW26" s="294">
        <v>0</v>
      </c>
      <c r="CX26" s="294"/>
      <c r="CY26" s="294"/>
      <c r="CZ26" s="294"/>
      <c r="DA26" s="294">
        <v>-1350893.7999999973</v>
      </c>
      <c r="DB26" s="294">
        <v>-1350893.7999999973</v>
      </c>
      <c r="DC26" s="294">
        <v>0</v>
      </c>
      <c r="DD26" s="294">
        <v>0</v>
      </c>
      <c r="DE26" s="294">
        <v>0</v>
      </c>
      <c r="DF26" s="294">
        <v>0</v>
      </c>
      <c r="DG26" s="294">
        <v>0</v>
      </c>
      <c r="DH26" s="294">
        <v>-130138.42000000001</v>
      </c>
      <c r="DI26" s="294">
        <v>0</v>
      </c>
      <c r="DJ26" s="294">
        <v>0</v>
      </c>
      <c r="DK26" s="294">
        <v>-130138.42000000001</v>
      </c>
      <c r="DL26" s="294">
        <v>0</v>
      </c>
      <c r="DM26" s="294">
        <v>0</v>
      </c>
      <c r="DN26" s="294">
        <v>0</v>
      </c>
      <c r="DO26" s="294">
        <v>0</v>
      </c>
      <c r="DP26" s="294">
        <v>0</v>
      </c>
      <c r="DQ26" s="324">
        <v>-2.7939677238464355E-9</v>
      </c>
      <c r="DR26" s="295">
        <v>3187810.069999997</v>
      </c>
      <c r="DS26" s="325">
        <v>1554819.23</v>
      </c>
      <c r="DT26" s="295">
        <v>496770.59999999957</v>
      </c>
      <c r="DU26" s="295">
        <v>53237.3</v>
      </c>
      <c r="DV26" s="295">
        <v>233</v>
      </c>
      <c r="DW26" s="295">
        <v>0</v>
      </c>
      <c r="DZ26"/>
      <c r="EA26"/>
      <c r="EH26"/>
    </row>
    <row r="27" spans="1:138">
      <c r="A27" s="321">
        <v>1025</v>
      </c>
      <c r="B27" s="322" t="s">
        <v>404</v>
      </c>
      <c r="C27" s="321">
        <v>1025</v>
      </c>
      <c r="D27" s="323" t="s">
        <v>817</v>
      </c>
      <c r="E27" s="323" t="s">
        <v>536</v>
      </c>
      <c r="F27" s="323" t="s">
        <v>818</v>
      </c>
      <c r="G27" s="323" t="s">
        <v>537</v>
      </c>
      <c r="H27" s="294">
        <v>888288.8</v>
      </c>
      <c r="I27" s="294">
        <v>0</v>
      </c>
      <c r="J27" s="294">
        <v>75305.36</v>
      </c>
      <c r="K27" s="294">
        <v>0</v>
      </c>
      <c r="L27" s="294">
        <v>15654.56</v>
      </c>
      <c r="M27" s="294">
        <v>389013.44</v>
      </c>
      <c r="N27" s="294">
        <v>0</v>
      </c>
      <c r="O27" s="294">
        <v>7650</v>
      </c>
      <c r="P27" s="294">
        <v>9027.24</v>
      </c>
      <c r="Q27" s="294">
        <v>12</v>
      </c>
      <c r="R27" s="294">
        <v>0</v>
      </c>
      <c r="S27" s="294">
        <v>0</v>
      </c>
      <c r="T27" s="294">
        <v>30563.4</v>
      </c>
      <c r="U27" s="294">
        <v>0</v>
      </c>
      <c r="V27" s="294">
        <v>0</v>
      </c>
      <c r="W27" s="294">
        <v>0</v>
      </c>
      <c r="X27" s="294">
        <v>0</v>
      </c>
      <c r="Y27" s="294">
        <v>1415514.8</v>
      </c>
      <c r="Z27" s="294">
        <v>284968.90999999986</v>
      </c>
      <c r="AA27" s="294">
        <v>0</v>
      </c>
      <c r="AB27" s="294">
        <v>285662</v>
      </c>
      <c r="AC27" s="294">
        <v>20299.000000000116</v>
      </c>
      <c r="AD27" s="294">
        <v>85374</v>
      </c>
      <c r="AE27" s="294">
        <v>12888</v>
      </c>
      <c r="AF27" s="294">
        <v>0</v>
      </c>
      <c r="AG27" s="294">
        <v>596.9800000000123</v>
      </c>
      <c r="AH27" s="294">
        <v>8072.45</v>
      </c>
      <c r="AI27" s="294">
        <v>0</v>
      </c>
      <c r="AJ27" s="294">
        <v>0</v>
      </c>
      <c r="AK27" s="294">
        <v>6791.4799999999968</v>
      </c>
      <c r="AL27" s="294">
        <v>1494.88</v>
      </c>
      <c r="AM27" s="294">
        <v>225</v>
      </c>
      <c r="AN27" s="294">
        <v>4588.4699999999993</v>
      </c>
      <c r="AO27" s="294">
        <v>13766.66</v>
      </c>
      <c r="AP27" s="294">
        <v>0</v>
      </c>
      <c r="AQ27" s="294">
        <v>21099.61</v>
      </c>
      <c r="AR27" s="294">
        <v>48899.26</v>
      </c>
      <c r="AS27" s="294">
        <v>14322.95</v>
      </c>
      <c r="AT27" s="294">
        <v>0</v>
      </c>
      <c r="AU27" s="294">
        <v>4096.3500000000167</v>
      </c>
      <c r="AV27" s="294">
        <v>3291.75</v>
      </c>
      <c r="AW27" s="294">
        <v>0</v>
      </c>
      <c r="AX27" s="294">
        <v>7740.32</v>
      </c>
      <c r="AY27" s="294">
        <v>0</v>
      </c>
      <c r="AZ27" s="294">
        <v>106064.46</v>
      </c>
      <c r="BA27" s="294">
        <v>283025.34000000008</v>
      </c>
      <c r="BB27" s="294">
        <v>0</v>
      </c>
      <c r="BC27" s="294">
        <v>0</v>
      </c>
      <c r="BD27" s="294">
        <v>0</v>
      </c>
      <c r="BE27" s="294">
        <v>1213267.8699999999</v>
      </c>
      <c r="BF27" s="294">
        <v>434464.59000000014</v>
      </c>
      <c r="BG27" s="294">
        <v>202246.93000000017</v>
      </c>
      <c r="BH27" s="294">
        <v>636711.52000000025</v>
      </c>
      <c r="BI27" s="294">
        <v>4803.25</v>
      </c>
      <c r="BJ27" s="294">
        <v>0</v>
      </c>
      <c r="BK27" s="294">
        <v>0</v>
      </c>
      <c r="BL27" s="294">
        <v>4803.25</v>
      </c>
      <c r="BM27" s="294">
        <v>0</v>
      </c>
      <c r="BN27" s="294">
        <v>0</v>
      </c>
      <c r="BO27" s="294">
        <v>0</v>
      </c>
      <c r="BP27" s="294">
        <v>3390</v>
      </c>
      <c r="BQ27" s="294">
        <v>3390</v>
      </c>
      <c r="BR27" s="294">
        <v>26263</v>
      </c>
      <c r="BS27" s="294">
        <v>1413.25</v>
      </c>
      <c r="BT27" s="294">
        <v>27676.25</v>
      </c>
      <c r="BU27" s="294">
        <v>0</v>
      </c>
      <c r="BV27" s="294">
        <v>0</v>
      </c>
      <c r="BW27" s="294">
        <v>0</v>
      </c>
      <c r="BX27" s="294">
        <v>0</v>
      </c>
      <c r="BY27" s="294">
        <v>0</v>
      </c>
      <c r="BZ27" s="294">
        <v>0</v>
      </c>
      <c r="CA27" s="294">
        <v>0</v>
      </c>
      <c r="CB27" s="294">
        <v>0</v>
      </c>
      <c r="CC27" s="294">
        <v>0</v>
      </c>
      <c r="CD27" s="294">
        <v>636711.52000000025</v>
      </c>
      <c r="CE27" s="294">
        <v>0</v>
      </c>
      <c r="CF27" s="294">
        <v>27676.25</v>
      </c>
      <c r="CG27" s="294">
        <v>0</v>
      </c>
      <c r="CH27" s="294">
        <v>0</v>
      </c>
      <c r="CI27" s="294">
        <f t="shared" si="0"/>
        <v>664387.77000000025</v>
      </c>
      <c r="CJ27" s="294">
        <v>659042.91</v>
      </c>
      <c r="CK27" s="294">
        <v>0</v>
      </c>
      <c r="CL27" s="294">
        <v>0</v>
      </c>
      <c r="CM27" s="294">
        <v>659042.91</v>
      </c>
      <c r="CN27" s="294">
        <v>0</v>
      </c>
      <c r="CO27" s="294">
        <v>0</v>
      </c>
      <c r="CP27" s="294">
        <v>0</v>
      </c>
      <c r="CQ27" s="294">
        <v>0</v>
      </c>
      <c r="CR27" s="294">
        <v>-5309.37</v>
      </c>
      <c r="CS27" s="294">
        <v>653733.54</v>
      </c>
      <c r="CT27" s="294">
        <v>0</v>
      </c>
      <c r="CU27" s="294">
        <v>0</v>
      </c>
      <c r="CV27" s="294">
        <v>0</v>
      </c>
      <c r="CW27" s="294">
        <v>0</v>
      </c>
      <c r="CX27" s="294"/>
      <c r="CY27" s="294"/>
      <c r="CZ27" s="294"/>
      <c r="DA27" s="294">
        <v>0</v>
      </c>
      <c r="DB27" s="294">
        <v>0</v>
      </c>
      <c r="DC27" s="294">
        <v>1902</v>
      </c>
      <c r="DD27" s="294">
        <v>8752.24</v>
      </c>
      <c r="DE27" s="294">
        <v>0</v>
      </c>
      <c r="DF27" s="294">
        <v>0</v>
      </c>
      <c r="DG27" s="294">
        <v>0</v>
      </c>
      <c r="DH27" s="294">
        <v>0</v>
      </c>
      <c r="DI27" s="294">
        <v>0</v>
      </c>
      <c r="DJ27" s="294">
        <v>0</v>
      </c>
      <c r="DK27" s="294">
        <v>10654.24</v>
      </c>
      <c r="DL27" s="294">
        <v>0</v>
      </c>
      <c r="DM27" s="294">
        <v>0</v>
      </c>
      <c r="DN27" s="294">
        <v>0</v>
      </c>
      <c r="DO27" s="294">
        <v>0</v>
      </c>
      <c r="DP27" s="294">
        <v>0</v>
      </c>
      <c r="DQ27" s="324">
        <v>-1.0000000009313226E-2</v>
      </c>
      <c r="DR27" s="295">
        <v>689788.89</v>
      </c>
      <c r="DS27" s="325">
        <v>523478.97999999986</v>
      </c>
      <c r="DT27" s="295">
        <v>0</v>
      </c>
      <c r="DU27" s="295">
        <v>47252.639999999999</v>
      </c>
      <c r="DV27" s="295">
        <v>0</v>
      </c>
      <c r="DW27" s="295">
        <v>0</v>
      </c>
      <c r="DZ27"/>
      <c r="EA27"/>
      <c r="EH27"/>
    </row>
    <row r="28" spans="1:138">
      <c r="A28" s="321">
        <v>2402</v>
      </c>
      <c r="B28" s="322" t="s">
        <v>335</v>
      </c>
      <c r="C28" s="321">
        <v>2402</v>
      </c>
      <c r="D28" s="323" t="s">
        <v>817</v>
      </c>
      <c r="E28" s="323" t="s">
        <v>539</v>
      </c>
      <c r="F28" s="323" t="s">
        <v>818</v>
      </c>
      <c r="G28" s="323" t="s">
        <v>537</v>
      </c>
      <c r="H28" s="294">
        <v>1713533.57</v>
      </c>
      <c r="I28" s="294">
        <v>0</v>
      </c>
      <c r="J28" s="294">
        <v>428601.02</v>
      </c>
      <c r="K28" s="294">
        <v>0</v>
      </c>
      <c r="L28" s="294">
        <v>88480</v>
      </c>
      <c r="M28" s="294">
        <v>400</v>
      </c>
      <c r="N28" s="294">
        <v>0</v>
      </c>
      <c r="O28" s="294">
        <v>1020</v>
      </c>
      <c r="P28" s="294">
        <v>58443.519999999997</v>
      </c>
      <c r="Q28" s="294">
        <v>2673.63</v>
      </c>
      <c r="R28" s="294">
        <v>0</v>
      </c>
      <c r="S28" s="294">
        <v>0</v>
      </c>
      <c r="T28" s="294">
        <v>4853.1000000000004</v>
      </c>
      <c r="U28" s="294">
        <v>0</v>
      </c>
      <c r="V28" s="294">
        <v>0</v>
      </c>
      <c r="W28" s="294">
        <v>901.25</v>
      </c>
      <c r="X28" s="294">
        <v>133335</v>
      </c>
      <c r="Y28" s="294">
        <v>2432241.09</v>
      </c>
      <c r="Z28" s="294">
        <v>1269617.3400000001</v>
      </c>
      <c r="AA28" s="294">
        <v>0</v>
      </c>
      <c r="AB28" s="294">
        <v>590423.64</v>
      </c>
      <c r="AC28" s="294">
        <v>21869.68</v>
      </c>
      <c r="AD28" s="294">
        <v>85371.24</v>
      </c>
      <c r="AE28" s="294">
        <v>0</v>
      </c>
      <c r="AF28" s="294">
        <v>69395.37</v>
      </c>
      <c r="AG28" s="294">
        <v>607</v>
      </c>
      <c r="AH28" s="294">
        <v>3880</v>
      </c>
      <c r="AI28" s="294">
        <v>0</v>
      </c>
      <c r="AJ28" s="294">
        <v>0</v>
      </c>
      <c r="AK28" s="294">
        <v>10492.69</v>
      </c>
      <c r="AL28" s="294">
        <v>0</v>
      </c>
      <c r="AM28" s="294">
        <v>40965.360000000001</v>
      </c>
      <c r="AN28" s="294">
        <v>6506.83</v>
      </c>
      <c r="AO28" s="294">
        <v>29676.89</v>
      </c>
      <c r="AP28" s="294">
        <v>18078.900000000001</v>
      </c>
      <c r="AQ28" s="294">
        <v>7448.17</v>
      </c>
      <c r="AR28" s="294">
        <v>30239.21</v>
      </c>
      <c r="AS28" s="294">
        <v>19.8</v>
      </c>
      <c r="AT28" s="294">
        <v>0</v>
      </c>
      <c r="AU28" s="294">
        <v>27525.62</v>
      </c>
      <c r="AV28" s="294">
        <v>5139.75</v>
      </c>
      <c r="AW28" s="294">
        <v>0</v>
      </c>
      <c r="AX28" s="294">
        <v>118935.44</v>
      </c>
      <c r="AY28" s="294">
        <v>96631.13</v>
      </c>
      <c r="AZ28" s="294">
        <v>7019.6</v>
      </c>
      <c r="BA28" s="294">
        <v>137818.1</v>
      </c>
      <c r="BB28" s="294">
        <v>0</v>
      </c>
      <c r="BC28" s="294">
        <v>7470.85</v>
      </c>
      <c r="BD28" s="294">
        <v>0</v>
      </c>
      <c r="BE28" s="294">
        <v>2585132.61</v>
      </c>
      <c r="BF28" s="294">
        <v>66139.939999999769</v>
      </c>
      <c r="BG28" s="294">
        <v>-152891.52000000002</v>
      </c>
      <c r="BH28" s="294">
        <v>-86751.580000000249</v>
      </c>
      <c r="BI28" s="294">
        <v>7438</v>
      </c>
      <c r="BJ28" s="294">
        <v>0</v>
      </c>
      <c r="BK28" s="294">
        <v>0</v>
      </c>
      <c r="BL28" s="294">
        <v>7438</v>
      </c>
      <c r="BM28" s="294">
        <v>0</v>
      </c>
      <c r="BN28" s="294">
        <v>0</v>
      </c>
      <c r="BO28" s="294">
        <v>0</v>
      </c>
      <c r="BP28" s="294">
        <v>0</v>
      </c>
      <c r="BQ28" s="294">
        <v>0</v>
      </c>
      <c r="BR28" s="294">
        <v>48856.36</v>
      </c>
      <c r="BS28" s="294">
        <v>7438</v>
      </c>
      <c r="BT28" s="294">
        <v>56294.36</v>
      </c>
      <c r="BU28" s="294">
        <v>0</v>
      </c>
      <c r="BV28" s="294">
        <v>0</v>
      </c>
      <c r="BW28" s="294">
        <v>0</v>
      </c>
      <c r="BX28" s="294">
        <v>0</v>
      </c>
      <c r="BY28" s="294">
        <v>0</v>
      </c>
      <c r="BZ28" s="294">
        <v>0</v>
      </c>
      <c r="CA28" s="294">
        <v>0</v>
      </c>
      <c r="CB28" s="294">
        <v>0</v>
      </c>
      <c r="CC28" s="294">
        <v>0</v>
      </c>
      <c r="CD28" s="294">
        <v>-86751.580000000249</v>
      </c>
      <c r="CE28" s="294">
        <v>0</v>
      </c>
      <c r="CF28" s="294">
        <v>56294.36</v>
      </c>
      <c r="CG28" s="294">
        <v>0</v>
      </c>
      <c r="CH28" s="294">
        <v>0</v>
      </c>
      <c r="CI28" s="294">
        <f t="shared" si="0"/>
        <v>-30457.220000000249</v>
      </c>
      <c r="CJ28" s="294">
        <v>238664.38</v>
      </c>
      <c r="CK28" s="294">
        <v>0</v>
      </c>
      <c r="CL28" s="294">
        <v>40</v>
      </c>
      <c r="CM28" s="294">
        <v>238704.38</v>
      </c>
      <c r="CN28" s="294">
        <v>0</v>
      </c>
      <c r="CO28" s="294">
        <v>0</v>
      </c>
      <c r="CP28" s="294">
        <v>2874.41</v>
      </c>
      <c r="CQ28" s="294">
        <v>5472.53</v>
      </c>
      <c r="CR28" s="294">
        <v>0</v>
      </c>
      <c r="CS28" s="294">
        <v>247051.32</v>
      </c>
      <c r="CT28" s="294">
        <v>220.99</v>
      </c>
      <c r="CU28" s="294">
        <v>0</v>
      </c>
      <c r="CV28" s="294">
        <v>0</v>
      </c>
      <c r="CW28" s="294">
        <v>220.99</v>
      </c>
      <c r="CX28" s="294"/>
      <c r="CY28" s="294"/>
      <c r="CZ28" s="294"/>
      <c r="DA28" s="294">
        <v>0</v>
      </c>
      <c r="DB28" s="294">
        <v>220.99</v>
      </c>
      <c r="DC28" s="294">
        <v>0</v>
      </c>
      <c r="DD28" s="294">
        <v>0</v>
      </c>
      <c r="DE28" s="294">
        <v>0</v>
      </c>
      <c r="DF28" s="294">
        <v>0</v>
      </c>
      <c r="DG28" s="294">
        <v>-12080.82</v>
      </c>
      <c r="DH28" s="294">
        <v>0</v>
      </c>
      <c r="DI28" s="294">
        <v>0</v>
      </c>
      <c r="DJ28" s="294">
        <v>0</v>
      </c>
      <c r="DK28" s="294">
        <v>-12080.82</v>
      </c>
      <c r="DL28" s="294">
        <v>45037.08</v>
      </c>
      <c r="DM28" s="294">
        <v>0</v>
      </c>
      <c r="DN28" s="294">
        <v>-3564.33</v>
      </c>
      <c r="DO28" s="294">
        <v>-307121.13</v>
      </c>
      <c r="DP28" s="294">
        <v>0</v>
      </c>
      <c r="DQ28" s="324">
        <v>-0.32999999998719431</v>
      </c>
      <c r="DR28" s="295">
        <v>2037284.27</v>
      </c>
      <c r="DS28" s="325">
        <v>547848.33999999985</v>
      </c>
      <c r="DT28" s="295">
        <v>96631.13</v>
      </c>
      <c r="DU28" s="295">
        <v>66990.25</v>
      </c>
      <c r="DV28" s="295">
        <v>0</v>
      </c>
      <c r="DW28" s="295">
        <v>-265648.38</v>
      </c>
      <c r="DZ28"/>
      <c r="EA28"/>
      <c r="EH28"/>
    </row>
    <row r="29" spans="1:138">
      <c r="A29" s="321">
        <v>2401</v>
      </c>
      <c r="B29" s="322" t="s">
        <v>336</v>
      </c>
      <c r="C29" s="321">
        <v>2401</v>
      </c>
      <c r="D29" s="323" t="s">
        <v>817</v>
      </c>
      <c r="E29" s="323" t="s">
        <v>539</v>
      </c>
      <c r="F29" s="323" t="s">
        <v>818</v>
      </c>
      <c r="G29" s="323" t="s">
        <v>537</v>
      </c>
      <c r="H29" s="294">
        <v>1872674</v>
      </c>
      <c r="I29" s="294">
        <v>0</v>
      </c>
      <c r="J29" s="294">
        <v>112222.09</v>
      </c>
      <c r="K29" s="294">
        <v>0</v>
      </c>
      <c r="L29" s="294">
        <v>101550</v>
      </c>
      <c r="M29" s="294">
        <v>600</v>
      </c>
      <c r="N29" s="294">
        <v>0</v>
      </c>
      <c r="O29" s="294">
        <v>7380</v>
      </c>
      <c r="P29" s="294">
        <v>389613.93</v>
      </c>
      <c r="Q29" s="294">
        <v>0</v>
      </c>
      <c r="R29" s="294">
        <v>0</v>
      </c>
      <c r="S29" s="294">
        <v>0</v>
      </c>
      <c r="T29" s="294">
        <v>58270.31</v>
      </c>
      <c r="U29" s="294">
        <v>0</v>
      </c>
      <c r="V29" s="294">
        <v>0</v>
      </c>
      <c r="W29" s="294">
        <v>3048.75</v>
      </c>
      <c r="X29" s="294">
        <v>19806</v>
      </c>
      <c r="Y29" s="294">
        <v>2565165.08</v>
      </c>
      <c r="Z29" s="294">
        <v>1331201.45</v>
      </c>
      <c r="AA29" s="294">
        <v>0</v>
      </c>
      <c r="AB29" s="294">
        <v>508362.5</v>
      </c>
      <c r="AC29" s="294">
        <v>25873.27</v>
      </c>
      <c r="AD29" s="294">
        <v>92412.01</v>
      </c>
      <c r="AE29" s="294">
        <v>0</v>
      </c>
      <c r="AF29" s="294">
        <v>57087.19</v>
      </c>
      <c r="AG29" s="294">
        <v>3194.3</v>
      </c>
      <c r="AH29" s="294">
        <v>7063</v>
      </c>
      <c r="AI29" s="294">
        <v>0</v>
      </c>
      <c r="AJ29" s="294">
        <v>0</v>
      </c>
      <c r="AK29" s="294">
        <v>20716.830000000002</v>
      </c>
      <c r="AL29" s="294">
        <v>2071.8000000000002</v>
      </c>
      <c r="AM29" s="294">
        <v>53146.2</v>
      </c>
      <c r="AN29" s="294">
        <v>12638.29</v>
      </c>
      <c r="AO29" s="294">
        <v>73891.39</v>
      </c>
      <c r="AP29" s="294">
        <v>21049</v>
      </c>
      <c r="AQ29" s="294">
        <v>13579.77</v>
      </c>
      <c r="AR29" s="294">
        <v>109148.09</v>
      </c>
      <c r="AS29" s="294">
        <v>0</v>
      </c>
      <c r="AT29" s="294">
        <v>0</v>
      </c>
      <c r="AU29" s="294">
        <v>11335.07</v>
      </c>
      <c r="AV29" s="294">
        <v>9471</v>
      </c>
      <c r="AW29" s="294">
        <v>0</v>
      </c>
      <c r="AX29" s="294">
        <v>14845.36</v>
      </c>
      <c r="AY29" s="294">
        <v>83551.02</v>
      </c>
      <c r="AZ29" s="294">
        <v>9526.6</v>
      </c>
      <c r="BA29" s="294">
        <v>142611.01999999999</v>
      </c>
      <c r="BB29" s="294">
        <v>0</v>
      </c>
      <c r="BC29" s="294">
        <v>7431.49</v>
      </c>
      <c r="BD29" s="294">
        <v>0</v>
      </c>
      <c r="BE29" s="294">
        <v>2610206.6500000004</v>
      </c>
      <c r="BF29" s="294">
        <v>66914.750000000291</v>
      </c>
      <c r="BG29" s="294">
        <v>-45041.570000000298</v>
      </c>
      <c r="BH29" s="294">
        <v>21873.179999999993</v>
      </c>
      <c r="BI29" s="294">
        <v>8275</v>
      </c>
      <c r="BJ29" s="294">
        <v>0</v>
      </c>
      <c r="BK29" s="294">
        <v>0</v>
      </c>
      <c r="BL29" s="294">
        <v>8275</v>
      </c>
      <c r="BM29" s="294">
        <v>0</v>
      </c>
      <c r="BN29" s="294">
        <v>0</v>
      </c>
      <c r="BO29" s="294">
        <v>0</v>
      </c>
      <c r="BP29" s="294">
        <v>0</v>
      </c>
      <c r="BQ29" s="294">
        <v>0</v>
      </c>
      <c r="BR29" s="294">
        <v>50679.69</v>
      </c>
      <c r="BS29" s="294">
        <v>8275</v>
      </c>
      <c r="BT29" s="294">
        <v>58954.69</v>
      </c>
      <c r="BU29" s="294">
        <v>0</v>
      </c>
      <c r="BV29" s="294">
        <v>0</v>
      </c>
      <c r="BW29" s="294">
        <v>0</v>
      </c>
      <c r="BX29" s="294">
        <v>0</v>
      </c>
      <c r="BY29" s="294">
        <v>0</v>
      </c>
      <c r="BZ29" s="294">
        <v>0</v>
      </c>
      <c r="CA29" s="294">
        <v>0</v>
      </c>
      <c r="CB29" s="294">
        <v>0</v>
      </c>
      <c r="CC29" s="294">
        <v>0</v>
      </c>
      <c r="CD29" s="294">
        <v>21873.179999999993</v>
      </c>
      <c r="CE29" s="294">
        <v>0</v>
      </c>
      <c r="CF29" s="294">
        <v>58954.69</v>
      </c>
      <c r="CG29" s="294">
        <v>0</v>
      </c>
      <c r="CH29" s="294">
        <v>0</v>
      </c>
      <c r="CI29" s="294">
        <f t="shared" si="0"/>
        <v>80827.87</v>
      </c>
      <c r="CJ29" s="294">
        <v>231374.97</v>
      </c>
      <c r="CK29" s="294">
        <v>0</v>
      </c>
      <c r="CL29" s="294">
        <v>0</v>
      </c>
      <c r="CM29" s="294">
        <v>231374.97</v>
      </c>
      <c r="CN29" s="294">
        <v>0</v>
      </c>
      <c r="CO29" s="294">
        <v>0</v>
      </c>
      <c r="CP29" s="294">
        <v>5691.32</v>
      </c>
      <c r="CQ29" s="294">
        <v>36309.82</v>
      </c>
      <c r="CR29" s="294">
        <v>0</v>
      </c>
      <c r="CS29" s="294">
        <v>273376.11</v>
      </c>
      <c r="CT29" s="294">
        <v>0</v>
      </c>
      <c r="CU29" s="294">
        <v>0</v>
      </c>
      <c r="CV29" s="294">
        <v>0</v>
      </c>
      <c r="CW29" s="294">
        <v>0</v>
      </c>
      <c r="CX29" s="294"/>
      <c r="CY29" s="294"/>
      <c r="CZ29" s="294"/>
      <c r="DA29" s="294">
        <v>0</v>
      </c>
      <c r="DB29" s="294">
        <v>0</v>
      </c>
      <c r="DC29" s="294">
        <v>0</v>
      </c>
      <c r="DD29" s="294">
        <v>0</v>
      </c>
      <c r="DE29" s="294">
        <v>0</v>
      </c>
      <c r="DF29" s="294">
        <v>0</v>
      </c>
      <c r="DG29" s="294">
        <v>-13020.02</v>
      </c>
      <c r="DH29" s="294">
        <v>-152.65</v>
      </c>
      <c r="DI29" s="294">
        <v>0</v>
      </c>
      <c r="DJ29" s="294">
        <v>0</v>
      </c>
      <c r="DK29" s="294">
        <v>-13172.67</v>
      </c>
      <c r="DL29" s="294">
        <v>1225</v>
      </c>
      <c r="DM29" s="294">
        <v>0</v>
      </c>
      <c r="DN29" s="294">
        <v>0</v>
      </c>
      <c r="DO29" s="294">
        <v>-180600.5</v>
      </c>
      <c r="DP29" s="294">
        <v>0</v>
      </c>
      <c r="DQ29" s="324"/>
      <c r="DR29" s="295">
        <v>2018130.72</v>
      </c>
      <c r="DS29" s="325">
        <v>592075.9300000004</v>
      </c>
      <c r="DT29" s="295">
        <v>83551.02</v>
      </c>
      <c r="DU29" s="295">
        <v>455264.24</v>
      </c>
      <c r="DV29" s="295">
        <v>0</v>
      </c>
      <c r="DW29" s="295">
        <v>-179375.5</v>
      </c>
      <c r="DZ29"/>
      <c r="EA29"/>
      <c r="EH29"/>
    </row>
    <row r="30" spans="1:138">
      <c r="A30" s="321">
        <v>1001</v>
      </c>
      <c r="B30" s="322" t="s">
        <v>483</v>
      </c>
      <c r="C30" s="321">
        <v>1001</v>
      </c>
      <c r="D30" s="323" t="s">
        <v>817</v>
      </c>
      <c r="E30" s="323" t="s">
        <v>536</v>
      </c>
      <c r="F30" s="323" t="s">
        <v>818</v>
      </c>
      <c r="G30" s="323" t="s">
        <v>799</v>
      </c>
      <c r="H30" s="294">
        <v>576765.76</v>
      </c>
      <c r="I30" s="294">
        <v>0</v>
      </c>
      <c r="J30" s="294">
        <v>1820</v>
      </c>
      <c r="K30" s="294">
        <v>0</v>
      </c>
      <c r="L30" s="294">
        <v>0</v>
      </c>
      <c r="M30" s="294">
        <v>571.29</v>
      </c>
      <c r="N30" s="294">
        <v>0</v>
      </c>
      <c r="O30" s="294">
        <v>0</v>
      </c>
      <c r="P30" s="294">
        <v>0</v>
      </c>
      <c r="Q30" s="294">
        <v>0</v>
      </c>
      <c r="R30" s="294">
        <v>0</v>
      </c>
      <c r="S30" s="294">
        <v>0</v>
      </c>
      <c r="T30" s="294">
        <v>7877.2399999999989</v>
      </c>
      <c r="U30" s="294">
        <v>28500</v>
      </c>
      <c r="V30" s="294">
        <v>0</v>
      </c>
      <c r="W30" s="294">
        <v>0</v>
      </c>
      <c r="X30" s="294">
        <v>0</v>
      </c>
      <c r="Y30" s="294">
        <v>615534.29</v>
      </c>
      <c r="Z30" s="294">
        <v>319710.82999999996</v>
      </c>
      <c r="AA30" s="294"/>
      <c r="AB30" s="294"/>
      <c r="AC30" s="294">
        <v>135384.35999999999</v>
      </c>
      <c r="AD30" s="294">
        <v>0</v>
      </c>
      <c r="AE30" s="294">
        <v>0</v>
      </c>
      <c r="AF30" s="294">
        <v>104025.70999999999</v>
      </c>
      <c r="AG30" s="294">
        <v>9281.2999999999993</v>
      </c>
      <c r="AH30" s="294">
        <v>225</v>
      </c>
      <c r="AI30" s="294">
        <v>0</v>
      </c>
      <c r="AJ30" s="294">
        <v>0</v>
      </c>
      <c r="AK30" s="294">
        <v>8721.76</v>
      </c>
      <c r="AL30" s="294">
        <v>0</v>
      </c>
      <c r="AM30" s="294">
        <v>1702.77</v>
      </c>
      <c r="AN30" s="294">
        <v>0</v>
      </c>
      <c r="AO30" s="294">
        <v>23939.7</v>
      </c>
      <c r="AP30" s="294">
        <v>0</v>
      </c>
      <c r="AQ30" s="294">
        <v>25031.53</v>
      </c>
      <c r="AR30" s="294">
        <v>97153.96</v>
      </c>
      <c r="AS30" s="294">
        <v>9844.2999999999993</v>
      </c>
      <c r="AT30" s="294">
        <v>0</v>
      </c>
      <c r="AU30" s="294">
        <v>4186.9600000000009</v>
      </c>
      <c r="AV30" s="294">
        <v>3291.75</v>
      </c>
      <c r="AW30" s="294">
        <v>0</v>
      </c>
      <c r="AX30" s="294">
        <v>28.99</v>
      </c>
      <c r="AY30" s="294">
        <v>5767.73</v>
      </c>
      <c r="AZ30" s="294">
        <v>0</v>
      </c>
      <c r="BA30" s="294">
        <v>33136.18</v>
      </c>
      <c r="BB30" s="294">
        <v>0</v>
      </c>
      <c r="BC30" s="294">
        <v>0</v>
      </c>
      <c r="BD30" s="294">
        <v>0</v>
      </c>
      <c r="BE30" s="294">
        <v>781432.83</v>
      </c>
      <c r="BF30" s="294">
        <v>-46063.009999999995</v>
      </c>
      <c r="BG30" s="294">
        <v>-165898.53999999992</v>
      </c>
      <c r="BH30" s="294">
        <v>-211961.54999999993</v>
      </c>
      <c r="BI30" s="294">
        <v>4762.75</v>
      </c>
      <c r="BJ30" s="294">
        <v>0</v>
      </c>
      <c r="BK30" s="294">
        <v>0</v>
      </c>
      <c r="BL30" s="294">
        <v>4762.75</v>
      </c>
      <c r="BM30" s="294">
        <v>0</v>
      </c>
      <c r="BN30" s="294">
        <v>0</v>
      </c>
      <c r="BO30" s="294">
        <v>0</v>
      </c>
      <c r="BP30" s="294">
        <v>0</v>
      </c>
      <c r="BQ30" s="294">
        <v>0</v>
      </c>
      <c r="BR30" s="294">
        <v>13073.999999999993</v>
      </c>
      <c r="BS30" s="294">
        <v>4762.75</v>
      </c>
      <c r="BT30" s="294">
        <v>17836.749999999993</v>
      </c>
      <c r="BU30" s="294">
        <v>0</v>
      </c>
      <c r="BV30" s="294">
        <v>0</v>
      </c>
      <c r="BW30" s="294">
        <v>0</v>
      </c>
      <c r="BX30" s="294">
        <v>0</v>
      </c>
      <c r="BY30" s="294">
        <v>0</v>
      </c>
      <c r="BZ30" s="294">
        <v>0</v>
      </c>
      <c r="CA30" s="294">
        <v>0</v>
      </c>
      <c r="CB30" s="294">
        <v>0</v>
      </c>
      <c r="CC30" s="294">
        <v>0</v>
      </c>
      <c r="CD30" s="294"/>
      <c r="CE30" s="294">
        <v>-211961.54999999993</v>
      </c>
      <c r="CF30" s="294">
        <v>17836.75</v>
      </c>
      <c r="CG30" s="294">
        <v>0</v>
      </c>
      <c r="CH30" s="294">
        <v>0</v>
      </c>
      <c r="CI30" s="294">
        <v>-194124.79999999993</v>
      </c>
      <c r="CJ30" s="294">
        <v>0</v>
      </c>
      <c r="CK30" s="294">
        <v>0</v>
      </c>
      <c r="CL30" s="294">
        <v>0</v>
      </c>
      <c r="CM30" s="294">
        <v>0</v>
      </c>
      <c r="CN30" s="294">
        <v>0</v>
      </c>
      <c r="CO30" s="294">
        <v>0</v>
      </c>
      <c r="CP30" s="294">
        <v>0</v>
      </c>
      <c r="CQ30" s="294">
        <v>0</v>
      </c>
      <c r="CR30" s="294">
        <v>0</v>
      </c>
      <c r="CS30" s="294">
        <v>0</v>
      </c>
      <c r="CT30" s="294">
        <v>0</v>
      </c>
      <c r="CU30" s="294">
        <v>0</v>
      </c>
      <c r="CV30" s="294">
        <v>0</v>
      </c>
      <c r="CW30" s="294">
        <v>0</v>
      </c>
      <c r="CX30" s="294"/>
      <c r="CY30" s="294"/>
      <c r="CZ30" s="294"/>
      <c r="DA30" s="294">
        <v>-194124.41999999993</v>
      </c>
      <c r="DB30" s="294">
        <v>-33138.419999999911</v>
      </c>
      <c r="DC30" s="294">
        <v>0</v>
      </c>
      <c r="DD30" s="294">
        <v>0</v>
      </c>
      <c r="DE30" s="294">
        <v>0</v>
      </c>
      <c r="DF30" s="294">
        <v>0</v>
      </c>
      <c r="DG30" s="294">
        <v>0</v>
      </c>
      <c r="DH30" s="294">
        <v>0</v>
      </c>
      <c r="DI30" s="294">
        <v>0</v>
      </c>
      <c r="DJ30" s="294">
        <v>0</v>
      </c>
      <c r="DK30" s="294">
        <v>0</v>
      </c>
      <c r="DL30" s="294">
        <v>0</v>
      </c>
      <c r="DM30" s="294">
        <v>0</v>
      </c>
      <c r="DN30" s="294">
        <v>0</v>
      </c>
      <c r="DO30" s="294">
        <v>0</v>
      </c>
      <c r="DP30" s="294">
        <v>0</v>
      </c>
      <c r="DQ30" s="324">
        <v>-8.7311491370201111E-11</v>
      </c>
      <c r="DR30" s="295">
        <v>365371.46999999991</v>
      </c>
      <c r="DS30" s="325">
        <v>213030.63000000006</v>
      </c>
      <c r="DT30" s="295">
        <v>14828.77</v>
      </c>
      <c r="DU30" s="295">
        <v>-34167.11</v>
      </c>
      <c r="DV30" s="295">
        <v>28500</v>
      </c>
      <c r="DW30" s="295">
        <v>0</v>
      </c>
      <c r="DZ30"/>
      <c r="EA30"/>
    </row>
    <row r="31" spans="1:138">
      <c r="A31" s="321">
        <v>4115</v>
      </c>
      <c r="B31" s="322" t="s">
        <v>337</v>
      </c>
      <c r="C31" s="321">
        <v>4115</v>
      </c>
      <c r="D31" s="323" t="s">
        <v>817</v>
      </c>
      <c r="E31" s="323" t="s">
        <v>543</v>
      </c>
      <c r="F31" s="323" t="s">
        <v>818</v>
      </c>
      <c r="G31" s="323" t="s">
        <v>537</v>
      </c>
      <c r="H31" s="294">
        <v>5454653.3600000003</v>
      </c>
      <c r="I31" s="294">
        <v>2222384.23</v>
      </c>
      <c r="J31" s="294">
        <v>258794.56</v>
      </c>
      <c r="K31" s="294">
        <v>0</v>
      </c>
      <c r="L31" s="294">
        <v>328650</v>
      </c>
      <c r="M31" s="294">
        <v>4970.79</v>
      </c>
      <c r="N31" s="294">
        <v>480</v>
      </c>
      <c r="O31" s="294">
        <v>28155.16</v>
      </c>
      <c r="P31" s="294">
        <v>124237.43</v>
      </c>
      <c r="Q31" s="294">
        <v>96830.54</v>
      </c>
      <c r="R31" s="294">
        <v>0</v>
      </c>
      <c r="S31" s="294">
        <v>0</v>
      </c>
      <c r="T31" s="294">
        <v>35755.81</v>
      </c>
      <c r="U31" s="294">
        <v>0</v>
      </c>
      <c r="V31" s="294">
        <v>0</v>
      </c>
      <c r="W31" s="294">
        <v>21103.13</v>
      </c>
      <c r="X31" s="294">
        <v>0</v>
      </c>
      <c r="Y31" s="294">
        <v>8576015.0099999998</v>
      </c>
      <c r="Z31" s="294">
        <v>4362651.16</v>
      </c>
      <c r="AA31" s="294">
        <v>0</v>
      </c>
      <c r="AB31" s="294">
        <v>843762.33</v>
      </c>
      <c r="AC31" s="294">
        <v>111366.58</v>
      </c>
      <c r="AD31" s="294">
        <v>900644.54</v>
      </c>
      <c r="AE31" s="294">
        <v>0</v>
      </c>
      <c r="AF31" s="294">
        <v>113427.43</v>
      </c>
      <c r="AG31" s="294">
        <v>46033.52</v>
      </c>
      <c r="AH31" s="294">
        <v>22977.22</v>
      </c>
      <c r="AI31" s="294">
        <v>0</v>
      </c>
      <c r="AJ31" s="294">
        <v>0</v>
      </c>
      <c r="AK31" s="294">
        <v>128497.32999999999</v>
      </c>
      <c r="AL31" s="294">
        <v>5902</v>
      </c>
      <c r="AM31" s="294">
        <v>163321.94</v>
      </c>
      <c r="AN31" s="294">
        <v>13335.5</v>
      </c>
      <c r="AO31" s="294">
        <v>222088.11</v>
      </c>
      <c r="AP31" s="294">
        <v>80286.86</v>
      </c>
      <c r="AQ31" s="294">
        <v>34213.56</v>
      </c>
      <c r="AR31" s="294">
        <v>252145.6</v>
      </c>
      <c r="AS31" s="294">
        <v>68867.83</v>
      </c>
      <c r="AT31" s="294">
        <v>148075.66999999998</v>
      </c>
      <c r="AU31" s="294">
        <v>114946.81</v>
      </c>
      <c r="AV31" s="294">
        <v>19395.650000000001</v>
      </c>
      <c r="AW31" s="294">
        <v>0</v>
      </c>
      <c r="AX31" s="294">
        <v>306115.89</v>
      </c>
      <c r="AY31" s="294">
        <v>171410.44</v>
      </c>
      <c r="AZ31" s="294">
        <v>84085.2</v>
      </c>
      <c r="BA31" s="294">
        <v>298838.93</v>
      </c>
      <c r="BB31" s="294">
        <v>0</v>
      </c>
      <c r="BC31" s="294">
        <v>0</v>
      </c>
      <c r="BD31" s="294">
        <v>352347.33</v>
      </c>
      <c r="BE31" s="294">
        <v>8864737.4299999997</v>
      </c>
      <c r="BF31" s="294">
        <v>2538983.859999998</v>
      </c>
      <c r="BG31" s="294">
        <v>-288722.41999999993</v>
      </c>
      <c r="BH31" s="294">
        <v>2250261.4399999981</v>
      </c>
      <c r="BI31" s="294">
        <v>22298.13</v>
      </c>
      <c r="BJ31" s="294">
        <v>0</v>
      </c>
      <c r="BK31" s="294">
        <v>352347.33</v>
      </c>
      <c r="BL31" s="294">
        <v>374645.46</v>
      </c>
      <c r="BM31" s="294">
        <v>0</v>
      </c>
      <c r="BN31" s="294">
        <v>387004.72</v>
      </c>
      <c r="BO31" s="294">
        <v>7195</v>
      </c>
      <c r="BP31" s="294">
        <v>47211.76</v>
      </c>
      <c r="BQ31" s="294">
        <v>441411.48</v>
      </c>
      <c r="BR31" s="294">
        <v>66766.02</v>
      </c>
      <c r="BS31" s="294">
        <v>-66766.01999999996</v>
      </c>
      <c r="BT31" s="294">
        <v>0</v>
      </c>
      <c r="BU31" s="294">
        <v>0</v>
      </c>
      <c r="BV31" s="294">
        <v>0</v>
      </c>
      <c r="BW31" s="294">
        <v>0</v>
      </c>
      <c r="BX31" s="294">
        <v>0</v>
      </c>
      <c r="BY31" s="294">
        <v>0</v>
      </c>
      <c r="BZ31" s="294">
        <v>0</v>
      </c>
      <c r="CA31" s="294">
        <v>0</v>
      </c>
      <c r="CB31" s="294">
        <v>0</v>
      </c>
      <c r="CC31" s="294">
        <v>0</v>
      </c>
      <c r="CD31" s="294">
        <v>2250261.4399999981</v>
      </c>
      <c r="CE31" s="294">
        <v>0</v>
      </c>
      <c r="CF31" s="294">
        <v>0</v>
      </c>
      <c r="CG31" s="294">
        <v>0</v>
      </c>
      <c r="CH31" s="294">
        <v>0</v>
      </c>
      <c r="CI31" s="294">
        <f t="shared" si="0"/>
        <v>2250261.4399999981</v>
      </c>
      <c r="CJ31" s="294">
        <v>1208805.31</v>
      </c>
      <c r="CK31" s="294">
        <v>587368.37</v>
      </c>
      <c r="CL31" s="294">
        <v>792.64</v>
      </c>
      <c r="CM31" s="294">
        <v>622229.58000000007</v>
      </c>
      <c r="CN31" s="294">
        <v>750</v>
      </c>
      <c r="CO31" s="294">
        <v>0</v>
      </c>
      <c r="CP31" s="294">
        <v>38955.74</v>
      </c>
      <c r="CQ31" s="294">
        <v>28081.82</v>
      </c>
      <c r="CR31" s="294">
        <v>0</v>
      </c>
      <c r="CS31" s="294">
        <v>690017.14</v>
      </c>
      <c r="CT31" s="294">
        <v>1530769.23</v>
      </c>
      <c r="CU31" s="294">
        <v>0</v>
      </c>
      <c r="CV31" s="294">
        <v>0</v>
      </c>
      <c r="CW31" s="294">
        <v>1530769.23</v>
      </c>
      <c r="CX31" s="294"/>
      <c r="CY31" s="294"/>
      <c r="CZ31" s="294"/>
      <c r="DA31" s="294">
        <v>0</v>
      </c>
      <c r="DB31" s="294">
        <v>1530769.23</v>
      </c>
      <c r="DC31" s="294">
        <v>0</v>
      </c>
      <c r="DD31" s="294">
        <v>21117.5</v>
      </c>
      <c r="DE31" s="294">
        <v>149843.38</v>
      </c>
      <c r="DF31" s="294">
        <v>0</v>
      </c>
      <c r="DG31" s="294">
        <v>-70725.539999999994</v>
      </c>
      <c r="DH31" s="294">
        <v>-4</v>
      </c>
      <c r="DI31" s="294">
        <v>-35230</v>
      </c>
      <c r="DJ31" s="294">
        <v>-35526.17</v>
      </c>
      <c r="DK31" s="294">
        <v>29475.170000000013</v>
      </c>
      <c r="DL31" s="294">
        <v>0</v>
      </c>
      <c r="DM31" s="294">
        <v>0</v>
      </c>
      <c r="DN31" s="294">
        <v>0</v>
      </c>
      <c r="DO31" s="294">
        <v>0</v>
      </c>
      <c r="DP31" s="294">
        <v>0</v>
      </c>
      <c r="DQ31" s="324">
        <v>0.48626431031152606</v>
      </c>
      <c r="DR31" s="295">
        <v>6377885.5599999996</v>
      </c>
      <c r="DS31" s="325">
        <v>2486851.87</v>
      </c>
      <c r="DT31" s="295">
        <v>171410.44</v>
      </c>
      <c r="DU31" s="295">
        <v>284978.94</v>
      </c>
      <c r="DV31" s="295">
        <v>0</v>
      </c>
      <c r="DW31" s="295">
        <v>0</v>
      </c>
      <c r="DZ31"/>
      <c r="EA31"/>
    </row>
    <row r="32" spans="1:138">
      <c r="A32" s="321">
        <v>2030</v>
      </c>
      <c r="B32" s="322" t="s">
        <v>338</v>
      </c>
      <c r="C32" s="321">
        <v>2030</v>
      </c>
      <c r="D32" s="323" t="s">
        <v>817</v>
      </c>
      <c r="E32" s="323" t="s">
        <v>539</v>
      </c>
      <c r="F32" s="323" t="s">
        <v>818</v>
      </c>
      <c r="G32" s="323" t="s">
        <v>537</v>
      </c>
      <c r="H32" s="294">
        <v>3877044.4</v>
      </c>
      <c r="I32" s="294">
        <v>0</v>
      </c>
      <c r="J32" s="294">
        <v>98485.21</v>
      </c>
      <c r="K32" s="294">
        <v>0</v>
      </c>
      <c r="L32" s="294">
        <v>392200</v>
      </c>
      <c r="M32" s="294">
        <v>4400</v>
      </c>
      <c r="N32" s="294">
        <v>0</v>
      </c>
      <c r="O32" s="294">
        <v>0</v>
      </c>
      <c r="P32" s="294">
        <v>59.93</v>
      </c>
      <c r="Q32" s="294">
        <v>30115.41</v>
      </c>
      <c r="R32" s="294">
        <v>874.66</v>
      </c>
      <c r="S32" s="294">
        <v>0</v>
      </c>
      <c r="T32" s="294">
        <v>18761.900000000001</v>
      </c>
      <c r="U32" s="294">
        <v>13437.5</v>
      </c>
      <c r="V32" s="294">
        <v>0</v>
      </c>
      <c r="W32" s="294">
        <v>353.13</v>
      </c>
      <c r="X32" s="294">
        <v>94647</v>
      </c>
      <c r="Y32" s="294">
        <v>4530379.1399999997</v>
      </c>
      <c r="Z32" s="294">
        <v>2042675.13</v>
      </c>
      <c r="AA32" s="294">
        <v>0</v>
      </c>
      <c r="AB32" s="294">
        <v>824732.43</v>
      </c>
      <c r="AC32" s="294">
        <v>121055.67</v>
      </c>
      <c r="AD32" s="294">
        <v>209990.45</v>
      </c>
      <c r="AE32" s="294">
        <v>103762.89</v>
      </c>
      <c r="AF32" s="294">
        <v>96996.94</v>
      </c>
      <c r="AG32" s="294">
        <v>14249.34</v>
      </c>
      <c r="AH32" s="294">
        <v>6494.25</v>
      </c>
      <c r="AI32" s="294">
        <v>0</v>
      </c>
      <c r="AJ32" s="294">
        <v>0</v>
      </c>
      <c r="AK32" s="294">
        <v>22521.11</v>
      </c>
      <c r="AL32" s="294">
        <v>0</v>
      </c>
      <c r="AM32" s="294">
        <v>5842.74</v>
      </c>
      <c r="AN32" s="294">
        <v>8056.66</v>
      </c>
      <c r="AO32" s="294">
        <v>87366.91</v>
      </c>
      <c r="AP32" s="294">
        <v>33389.800000000003</v>
      </c>
      <c r="AQ32" s="294">
        <v>17352.989999999998</v>
      </c>
      <c r="AR32" s="294">
        <v>45066.65</v>
      </c>
      <c r="AS32" s="294">
        <v>66442.06</v>
      </c>
      <c r="AT32" s="294">
        <v>0</v>
      </c>
      <c r="AU32" s="294">
        <v>34311.25</v>
      </c>
      <c r="AV32" s="294">
        <v>20483.04</v>
      </c>
      <c r="AW32" s="294">
        <v>8162.5</v>
      </c>
      <c r="AX32" s="294">
        <v>70894.219999999987</v>
      </c>
      <c r="AY32" s="294">
        <v>157676.18999999997</v>
      </c>
      <c r="AZ32" s="294">
        <v>72981.66</v>
      </c>
      <c r="BA32" s="294">
        <v>211530.47999999998</v>
      </c>
      <c r="BB32" s="294">
        <v>0</v>
      </c>
      <c r="BC32" s="294">
        <v>0</v>
      </c>
      <c r="BD32" s="294">
        <v>0</v>
      </c>
      <c r="BE32" s="294">
        <v>4282035.3600000013</v>
      </c>
      <c r="BF32" s="294">
        <v>294223.52000000037</v>
      </c>
      <c r="BG32" s="294">
        <v>248343.7799999984</v>
      </c>
      <c r="BH32" s="294">
        <v>542567.29999999877</v>
      </c>
      <c r="BI32" s="294">
        <v>11321.5</v>
      </c>
      <c r="BJ32" s="294">
        <v>0</v>
      </c>
      <c r="BK32" s="294">
        <v>0</v>
      </c>
      <c r="BL32" s="294">
        <v>11321.5</v>
      </c>
      <c r="BM32" s="294">
        <v>0</v>
      </c>
      <c r="BN32" s="294">
        <v>0</v>
      </c>
      <c r="BO32" s="294">
        <v>0</v>
      </c>
      <c r="BP32" s="294">
        <v>0</v>
      </c>
      <c r="BQ32" s="294">
        <v>0</v>
      </c>
      <c r="BR32" s="294">
        <v>40688</v>
      </c>
      <c r="BS32" s="294">
        <v>11321.5</v>
      </c>
      <c r="BT32" s="294">
        <v>52009.5</v>
      </c>
      <c r="BU32" s="294">
        <v>0</v>
      </c>
      <c r="BV32" s="294">
        <v>0</v>
      </c>
      <c r="BW32" s="294">
        <v>0</v>
      </c>
      <c r="BX32" s="294">
        <v>0</v>
      </c>
      <c r="BY32" s="294">
        <v>0</v>
      </c>
      <c r="BZ32" s="294">
        <v>0</v>
      </c>
      <c r="CA32" s="294">
        <v>0</v>
      </c>
      <c r="CB32" s="294">
        <v>0</v>
      </c>
      <c r="CC32" s="294">
        <v>0</v>
      </c>
      <c r="CD32" s="294">
        <v>542567.29999999877</v>
      </c>
      <c r="CE32" s="294">
        <v>0</v>
      </c>
      <c r="CF32" s="294">
        <v>52009.5</v>
      </c>
      <c r="CG32" s="294">
        <v>0</v>
      </c>
      <c r="CH32" s="294">
        <v>0</v>
      </c>
      <c r="CI32" s="294">
        <f t="shared" si="0"/>
        <v>594576.79999999877</v>
      </c>
      <c r="CJ32" s="294">
        <v>859090.81</v>
      </c>
      <c r="CK32" s="294">
        <v>282875.18</v>
      </c>
      <c r="CL32" s="294">
        <v>1240.6400000000001</v>
      </c>
      <c r="CM32" s="294">
        <v>577456.27000000014</v>
      </c>
      <c r="CN32" s="294">
        <v>0</v>
      </c>
      <c r="CO32" s="294">
        <v>0</v>
      </c>
      <c r="CP32" s="294">
        <v>15204.44</v>
      </c>
      <c r="CQ32" s="294">
        <v>16813.8</v>
      </c>
      <c r="CR32" s="294">
        <v>-2415</v>
      </c>
      <c r="CS32" s="294">
        <v>607059.51000000013</v>
      </c>
      <c r="CT32" s="294">
        <v>1166.55</v>
      </c>
      <c r="CU32" s="294">
        <v>0</v>
      </c>
      <c r="CV32" s="294">
        <v>0</v>
      </c>
      <c r="CW32" s="294">
        <v>1166.55</v>
      </c>
      <c r="CX32" s="294"/>
      <c r="CY32" s="294"/>
      <c r="CZ32" s="294"/>
      <c r="DA32" s="294">
        <v>0</v>
      </c>
      <c r="DB32" s="294">
        <v>1166.55</v>
      </c>
      <c r="DC32" s="294">
        <v>0</v>
      </c>
      <c r="DD32" s="294">
        <v>0</v>
      </c>
      <c r="DE32" s="294">
        <v>0</v>
      </c>
      <c r="DF32" s="294">
        <v>0</v>
      </c>
      <c r="DG32" s="294">
        <v>-26478.98</v>
      </c>
      <c r="DH32" s="294">
        <v>0</v>
      </c>
      <c r="DI32" s="294">
        <v>0</v>
      </c>
      <c r="DJ32" s="294">
        <v>0</v>
      </c>
      <c r="DK32" s="294">
        <v>-26478.98</v>
      </c>
      <c r="DL32" s="294">
        <v>0</v>
      </c>
      <c r="DM32" s="294">
        <v>12829.67</v>
      </c>
      <c r="DN32" s="294">
        <v>0</v>
      </c>
      <c r="DO32" s="294">
        <v>0</v>
      </c>
      <c r="DP32" s="294">
        <v>0</v>
      </c>
      <c r="DQ32" s="324">
        <v>-0.31000000005587935</v>
      </c>
      <c r="DR32" s="295">
        <v>3413462.85</v>
      </c>
      <c r="DS32" s="325">
        <v>868572.51000000117</v>
      </c>
      <c r="DT32" s="295">
        <v>157676.18999999997</v>
      </c>
      <c r="DU32" s="295">
        <v>48937.240000000005</v>
      </c>
      <c r="DV32" s="295">
        <v>14312.16</v>
      </c>
      <c r="DW32" s="295">
        <v>12829.67</v>
      </c>
      <c r="DZ32"/>
      <c r="EA32"/>
    </row>
    <row r="33" spans="1:131">
      <c r="A33" s="321">
        <v>3353</v>
      </c>
      <c r="B33" s="322" t="s">
        <v>405</v>
      </c>
      <c r="C33" s="321">
        <v>3353</v>
      </c>
      <c r="D33" s="323" t="s">
        <v>817</v>
      </c>
      <c r="E33" s="323" t="s">
        <v>539</v>
      </c>
      <c r="F33" s="323" t="s">
        <v>818</v>
      </c>
      <c r="G33" s="323" t="s">
        <v>537</v>
      </c>
      <c r="H33" s="294">
        <v>3182261.18</v>
      </c>
      <c r="I33" s="294">
        <v>0</v>
      </c>
      <c r="J33" s="294">
        <v>61163.5</v>
      </c>
      <c r="K33" s="294">
        <v>0</v>
      </c>
      <c r="L33" s="294">
        <v>182200</v>
      </c>
      <c r="M33" s="294">
        <v>155578.25</v>
      </c>
      <c r="N33" s="294">
        <v>0</v>
      </c>
      <c r="O33" s="294">
        <v>13660</v>
      </c>
      <c r="P33" s="294">
        <v>98152.309999999969</v>
      </c>
      <c r="Q33" s="294">
        <v>0</v>
      </c>
      <c r="R33" s="294">
        <v>0</v>
      </c>
      <c r="S33" s="294">
        <v>0</v>
      </c>
      <c r="T33" s="294">
        <v>12587.72</v>
      </c>
      <c r="U33" s="294">
        <v>104.79</v>
      </c>
      <c r="V33" s="294">
        <v>0</v>
      </c>
      <c r="W33" s="294">
        <v>10001.25</v>
      </c>
      <c r="X33" s="294">
        <v>139577</v>
      </c>
      <c r="Y33" s="294">
        <v>3855286.0000000005</v>
      </c>
      <c r="Z33" s="294">
        <v>1801569.6299999964</v>
      </c>
      <c r="AA33" s="294">
        <v>0</v>
      </c>
      <c r="AB33" s="294">
        <v>671366.74</v>
      </c>
      <c r="AC33" s="294">
        <v>50424.959999998915</v>
      </c>
      <c r="AD33" s="294">
        <v>312427.52000000002</v>
      </c>
      <c r="AE33" s="294">
        <v>0</v>
      </c>
      <c r="AF33" s="294">
        <v>64164.239999999641</v>
      </c>
      <c r="AG33" s="294">
        <v>1010.3699999999844</v>
      </c>
      <c r="AH33" s="294">
        <v>11864.620000000003</v>
      </c>
      <c r="AI33" s="294">
        <v>0</v>
      </c>
      <c r="AJ33" s="294">
        <v>0</v>
      </c>
      <c r="AK33" s="294">
        <v>38604.339999999997</v>
      </c>
      <c r="AL33" s="294">
        <v>4792.8100000000013</v>
      </c>
      <c r="AM33" s="294">
        <v>74404.100000000006</v>
      </c>
      <c r="AN33" s="294">
        <v>11874.53</v>
      </c>
      <c r="AO33" s="294">
        <v>50083.750000000007</v>
      </c>
      <c r="AP33" s="294">
        <v>11218.18</v>
      </c>
      <c r="AQ33" s="294">
        <v>43961.37</v>
      </c>
      <c r="AR33" s="294">
        <v>164085.92000000007</v>
      </c>
      <c r="AS33" s="294">
        <v>51725.1</v>
      </c>
      <c r="AT33" s="294">
        <v>0</v>
      </c>
      <c r="AU33" s="294">
        <v>58371.73000000001</v>
      </c>
      <c r="AV33" s="294">
        <v>18745.650000000001</v>
      </c>
      <c r="AW33" s="294">
        <v>764.4</v>
      </c>
      <c r="AX33" s="294">
        <v>139313.99</v>
      </c>
      <c r="AY33" s="294">
        <v>271365.57</v>
      </c>
      <c r="AZ33" s="294">
        <v>8394</v>
      </c>
      <c r="BA33" s="294">
        <v>142459.97999999969</v>
      </c>
      <c r="BB33" s="294">
        <v>0</v>
      </c>
      <c r="BC33" s="294">
        <v>0</v>
      </c>
      <c r="BD33" s="294">
        <v>0</v>
      </c>
      <c r="BE33" s="294">
        <v>4002993.4999999949</v>
      </c>
      <c r="BF33" s="294">
        <v>296554.20000000042</v>
      </c>
      <c r="BG33" s="294">
        <v>-147707.49999999441</v>
      </c>
      <c r="BH33" s="294">
        <v>148846.70000000601</v>
      </c>
      <c r="BI33" s="294">
        <v>0</v>
      </c>
      <c r="BJ33" s="294">
        <v>0</v>
      </c>
      <c r="BK33" s="294">
        <v>0</v>
      </c>
      <c r="BL33" s="294">
        <v>0</v>
      </c>
      <c r="BM33" s="294">
        <v>0</v>
      </c>
      <c r="BN33" s="294">
        <v>0</v>
      </c>
      <c r="BO33" s="294">
        <v>0</v>
      </c>
      <c r="BP33" s="294">
        <v>0</v>
      </c>
      <c r="BQ33" s="294">
        <v>0</v>
      </c>
      <c r="BR33" s="294">
        <v>0</v>
      </c>
      <c r="BS33" s="294">
        <v>0</v>
      </c>
      <c r="BT33" s="294">
        <v>0</v>
      </c>
      <c r="BU33" s="294">
        <v>0</v>
      </c>
      <c r="BV33" s="294">
        <v>0</v>
      </c>
      <c r="BW33" s="294">
        <v>0</v>
      </c>
      <c r="BX33" s="294">
        <v>0</v>
      </c>
      <c r="BY33" s="294">
        <v>0</v>
      </c>
      <c r="BZ33" s="294">
        <v>0</v>
      </c>
      <c r="CA33" s="294">
        <v>0</v>
      </c>
      <c r="CB33" s="294">
        <v>0</v>
      </c>
      <c r="CC33" s="294">
        <v>0</v>
      </c>
      <c r="CD33" s="294">
        <v>148846.70000000601</v>
      </c>
      <c r="CE33" s="294">
        <v>0</v>
      </c>
      <c r="CF33" s="294">
        <v>0</v>
      </c>
      <c r="CG33" s="294">
        <v>0</v>
      </c>
      <c r="CH33" s="294">
        <v>0</v>
      </c>
      <c r="CI33" s="294">
        <f t="shared" si="0"/>
        <v>148846.70000000601</v>
      </c>
      <c r="CJ33" s="294">
        <v>522241.84</v>
      </c>
      <c r="CK33" s="294">
        <v>0</v>
      </c>
      <c r="CL33" s="294">
        <v>0</v>
      </c>
      <c r="CM33" s="294">
        <v>522241.84</v>
      </c>
      <c r="CN33" s="294">
        <v>0</v>
      </c>
      <c r="CO33" s="294">
        <v>0</v>
      </c>
      <c r="CP33" s="294">
        <v>6497.4</v>
      </c>
      <c r="CQ33" s="294">
        <v>0</v>
      </c>
      <c r="CR33" s="294">
        <v>-308970.05999999994</v>
      </c>
      <c r="CS33" s="294">
        <v>219769.18000000005</v>
      </c>
      <c r="CT33" s="294">
        <v>0</v>
      </c>
      <c r="CU33" s="294">
        <v>0</v>
      </c>
      <c r="CV33" s="294">
        <v>0</v>
      </c>
      <c r="CW33" s="294">
        <v>0</v>
      </c>
      <c r="CX33" s="294"/>
      <c r="CY33" s="294"/>
      <c r="CZ33" s="294"/>
      <c r="DA33" s="294">
        <v>0</v>
      </c>
      <c r="DB33" s="294">
        <v>0</v>
      </c>
      <c r="DC33" s="294">
        <v>0</v>
      </c>
      <c r="DD33" s="294">
        <v>10468.709999999999</v>
      </c>
      <c r="DE33" s="294">
        <v>0</v>
      </c>
      <c r="DF33" s="294">
        <v>0</v>
      </c>
      <c r="DG33" s="294">
        <v>-24422.59</v>
      </c>
      <c r="DH33" s="294">
        <v>-56969.1</v>
      </c>
      <c r="DI33" s="294">
        <v>0</v>
      </c>
      <c r="DJ33" s="294">
        <v>0</v>
      </c>
      <c r="DK33" s="294">
        <v>-70922.98</v>
      </c>
      <c r="DL33" s="294">
        <v>0</v>
      </c>
      <c r="DM33" s="294">
        <v>0</v>
      </c>
      <c r="DN33" s="294">
        <v>0</v>
      </c>
      <c r="DO33" s="294">
        <v>0</v>
      </c>
      <c r="DP33" s="294">
        <v>0</v>
      </c>
      <c r="DQ33" s="324">
        <v>-0.55999999959021807</v>
      </c>
      <c r="DR33" s="295">
        <v>2900963.4599999953</v>
      </c>
      <c r="DS33" s="325">
        <v>1102030.0399999996</v>
      </c>
      <c r="DT33" s="295">
        <v>271365.57</v>
      </c>
      <c r="DU33" s="295">
        <v>124400.02999999997</v>
      </c>
      <c r="DV33" s="295">
        <v>104.79</v>
      </c>
      <c r="DW33" s="295">
        <v>0</v>
      </c>
      <c r="DZ33"/>
      <c r="EA33"/>
    </row>
    <row r="34" spans="1:131">
      <c r="A34" s="321">
        <v>7030</v>
      </c>
      <c r="B34" s="322" t="s">
        <v>484</v>
      </c>
      <c r="C34" s="321">
        <v>7030</v>
      </c>
      <c r="D34" s="323" t="s">
        <v>817</v>
      </c>
      <c r="E34" s="323" t="s">
        <v>541</v>
      </c>
      <c r="F34" s="323" t="s">
        <v>818</v>
      </c>
      <c r="G34" s="323" t="s">
        <v>537</v>
      </c>
      <c r="H34" s="294">
        <v>897596.5</v>
      </c>
      <c r="I34" s="294">
        <v>0</v>
      </c>
      <c r="J34" s="294">
        <v>984046.07999999996</v>
      </c>
      <c r="K34" s="294">
        <v>0</v>
      </c>
      <c r="L34" s="294">
        <v>47720</v>
      </c>
      <c r="M34" s="294">
        <v>823694.54999999993</v>
      </c>
      <c r="N34" s="294">
        <v>0</v>
      </c>
      <c r="O34" s="294">
        <v>0</v>
      </c>
      <c r="P34" s="294">
        <v>10747.739999999994</v>
      </c>
      <c r="Q34" s="294">
        <v>0</v>
      </c>
      <c r="R34" s="294">
        <v>0</v>
      </c>
      <c r="S34" s="294">
        <v>0</v>
      </c>
      <c r="T34" s="294">
        <v>0</v>
      </c>
      <c r="U34" s="294">
        <v>3932</v>
      </c>
      <c r="V34" s="294">
        <v>0</v>
      </c>
      <c r="W34" s="294">
        <v>10572.31</v>
      </c>
      <c r="X34" s="294">
        <v>0</v>
      </c>
      <c r="Y34" s="294">
        <v>2778309.18</v>
      </c>
      <c r="Z34" s="294">
        <v>1228637.9599999967</v>
      </c>
      <c r="AA34" s="294">
        <v>0</v>
      </c>
      <c r="AB34" s="294">
        <v>550304.06000000006</v>
      </c>
      <c r="AC34" s="294">
        <v>63935.530000000843</v>
      </c>
      <c r="AD34" s="294">
        <v>214050.29</v>
      </c>
      <c r="AE34" s="294">
        <v>0</v>
      </c>
      <c r="AF34" s="294">
        <v>34279.880000000179</v>
      </c>
      <c r="AG34" s="294">
        <v>4494.6599999999853</v>
      </c>
      <c r="AH34" s="294">
        <v>31111.39</v>
      </c>
      <c r="AI34" s="294">
        <v>0</v>
      </c>
      <c r="AJ34" s="294">
        <v>0</v>
      </c>
      <c r="AK34" s="294">
        <v>21808.400000000001</v>
      </c>
      <c r="AL34" s="294">
        <v>4292</v>
      </c>
      <c r="AM34" s="294">
        <v>20073.5</v>
      </c>
      <c r="AN34" s="294">
        <v>2183.04</v>
      </c>
      <c r="AO34" s="294">
        <v>7009.4699999999866</v>
      </c>
      <c r="AP34" s="294">
        <v>0</v>
      </c>
      <c r="AQ34" s="294">
        <v>6002.25</v>
      </c>
      <c r="AR34" s="294">
        <v>52598.209999999614</v>
      </c>
      <c r="AS34" s="294">
        <v>28423.66</v>
      </c>
      <c r="AT34" s="294">
        <v>16550.63</v>
      </c>
      <c r="AU34" s="294">
        <v>96867.910000000018</v>
      </c>
      <c r="AV34" s="294">
        <v>3701.77</v>
      </c>
      <c r="AW34" s="294">
        <v>6362.5</v>
      </c>
      <c r="AX34" s="294">
        <v>20860.89</v>
      </c>
      <c r="AY34" s="294">
        <v>21083</v>
      </c>
      <c r="AZ34" s="294">
        <v>4155</v>
      </c>
      <c r="BA34" s="294">
        <v>94484.959999999977</v>
      </c>
      <c r="BB34" s="294">
        <v>0</v>
      </c>
      <c r="BC34" s="294">
        <v>0</v>
      </c>
      <c r="BD34" s="294">
        <v>0</v>
      </c>
      <c r="BE34" s="294">
        <v>2533270.9599999976</v>
      </c>
      <c r="BF34" s="294">
        <v>310791.12999999966</v>
      </c>
      <c r="BG34" s="294">
        <v>245038.22000000253</v>
      </c>
      <c r="BH34" s="294">
        <v>555829.35000000219</v>
      </c>
      <c r="BI34" s="294">
        <v>7543.75</v>
      </c>
      <c r="BJ34" s="294">
        <v>0</v>
      </c>
      <c r="BK34" s="294">
        <v>0</v>
      </c>
      <c r="BL34" s="294">
        <v>7543.75</v>
      </c>
      <c r="BM34" s="294">
        <v>0</v>
      </c>
      <c r="BN34" s="294">
        <v>0</v>
      </c>
      <c r="BO34" s="294">
        <v>0</v>
      </c>
      <c r="BP34" s="294">
        <v>0</v>
      </c>
      <c r="BQ34" s="294">
        <v>0</v>
      </c>
      <c r="BR34" s="294">
        <v>0</v>
      </c>
      <c r="BS34" s="294">
        <v>7543.75</v>
      </c>
      <c r="BT34" s="294">
        <v>7543.75</v>
      </c>
      <c r="BU34" s="294">
        <v>0</v>
      </c>
      <c r="BV34" s="294">
        <v>0</v>
      </c>
      <c r="BW34" s="294">
        <v>0</v>
      </c>
      <c r="BX34" s="294">
        <v>0</v>
      </c>
      <c r="BY34" s="294">
        <v>0</v>
      </c>
      <c r="BZ34" s="294">
        <v>0</v>
      </c>
      <c r="CA34" s="294">
        <v>0</v>
      </c>
      <c r="CB34" s="294">
        <v>0</v>
      </c>
      <c r="CC34" s="294">
        <v>0</v>
      </c>
      <c r="CD34" s="294">
        <v>555829.35000000219</v>
      </c>
      <c r="CE34" s="294">
        <v>0</v>
      </c>
      <c r="CF34" s="294">
        <v>7543.75</v>
      </c>
      <c r="CG34" s="294">
        <v>0</v>
      </c>
      <c r="CH34" s="294">
        <v>0</v>
      </c>
      <c r="CI34" s="294">
        <f t="shared" si="0"/>
        <v>563373.10000000219</v>
      </c>
      <c r="CJ34" s="294">
        <v>214417.27</v>
      </c>
      <c r="CK34" s="294">
        <v>0</v>
      </c>
      <c r="CL34" s="294">
        <v>0</v>
      </c>
      <c r="CM34" s="294">
        <v>214417.27</v>
      </c>
      <c r="CN34" s="294">
        <v>0</v>
      </c>
      <c r="CO34" s="294">
        <v>0</v>
      </c>
      <c r="CP34" s="294">
        <v>3614.81</v>
      </c>
      <c r="CQ34" s="294">
        <v>0</v>
      </c>
      <c r="CR34" s="294">
        <v>-334144.32999999996</v>
      </c>
      <c r="CS34" s="294">
        <v>-116112.24999999997</v>
      </c>
      <c r="CT34" s="294">
        <v>0</v>
      </c>
      <c r="CU34" s="294">
        <v>0</v>
      </c>
      <c r="CV34" s="294">
        <v>0</v>
      </c>
      <c r="CW34" s="294">
        <v>0</v>
      </c>
      <c r="CX34" s="294"/>
      <c r="CY34" s="294"/>
      <c r="CZ34" s="294"/>
      <c r="DA34" s="294">
        <v>0</v>
      </c>
      <c r="DB34" s="294">
        <v>0</v>
      </c>
      <c r="DC34" s="294">
        <v>699191.54</v>
      </c>
      <c r="DD34" s="294">
        <v>10747.74</v>
      </c>
      <c r="DE34" s="294">
        <v>0</v>
      </c>
      <c r="DF34" s="294">
        <v>0</v>
      </c>
      <c r="DG34" s="294">
        <v>-25073.4</v>
      </c>
      <c r="DH34" s="294">
        <v>-130.9</v>
      </c>
      <c r="DI34" s="294">
        <v>0</v>
      </c>
      <c r="DJ34" s="294">
        <v>-5250</v>
      </c>
      <c r="DK34" s="294">
        <v>679484.98</v>
      </c>
      <c r="DL34" s="294">
        <v>0</v>
      </c>
      <c r="DM34" s="294">
        <v>0</v>
      </c>
      <c r="DN34" s="294">
        <v>0</v>
      </c>
      <c r="DO34" s="294">
        <v>0</v>
      </c>
      <c r="DP34" s="294">
        <v>0</v>
      </c>
      <c r="DQ34" s="324">
        <v>0.27000000001862645</v>
      </c>
      <c r="DR34" s="295">
        <v>2095702.3799999976</v>
      </c>
      <c r="DS34" s="325">
        <v>437568.58000000007</v>
      </c>
      <c r="DT34" s="295">
        <v>21083</v>
      </c>
      <c r="DU34" s="295">
        <v>10747.739999999994</v>
      </c>
      <c r="DV34" s="295">
        <v>3932</v>
      </c>
      <c r="DW34" s="295">
        <v>0</v>
      </c>
      <c r="DZ34"/>
      <c r="EA34"/>
    </row>
    <row r="35" spans="1:131">
      <c r="A35" s="321">
        <v>1002</v>
      </c>
      <c r="B35" s="322" t="s">
        <v>406</v>
      </c>
      <c r="C35" s="321">
        <v>1002</v>
      </c>
      <c r="D35" s="323" t="s">
        <v>817</v>
      </c>
      <c r="E35" s="323" t="s">
        <v>536</v>
      </c>
      <c r="F35" s="323" t="s">
        <v>818</v>
      </c>
      <c r="G35" s="323" t="s">
        <v>537</v>
      </c>
      <c r="H35" s="294">
        <v>776666.93</v>
      </c>
      <c r="I35" s="294">
        <v>0</v>
      </c>
      <c r="J35" s="294">
        <v>17800.79</v>
      </c>
      <c r="K35" s="294">
        <v>0</v>
      </c>
      <c r="L35" s="294">
        <v>0</v>
      </c>
      <c r="M35" s="294">
        <v>2400</v>
      </c>
      <c r="N35" s="294">
        <v>0</v>
      </c>
      <c r="O35" s="294">
        <v>0</v>
      </c>
      <c r="P35" s="294">
        <v>25925.46</v>
      </c>
      <c r="Q35" s="294">
        <v>0</v>
      </c>
      <c r="R35" s="294">
        <v>0</v>
      </c>
      <c r="S35" s="294">
        <v>0</v>
      </c>
      <c r="T35" s="294">
        <v>345.5</v>
      </c>
      <c r="U35" s="294">
        <v>27000</v>
      </c>
      <c r="V35" s="294">
        <v>0</v>
      </c>
      <c r="W35" s="294">
        <v>0</v>
      </c>
      <c r="X35" s="294">
        <v>0</v>
      </c>
      <c r="Y35" s="294">
        <v>850138.68</v>
      </c>
      <c r="Z35" s="294">
        <v>120484.65000000005</v>
      </c>
      <c r="AA35" s="294">
        <v>1575.54</v>
      </c>
      <c r="AB35" s="294">
        <v>-150.22000000000116</v>
      </c>
      <c r="AC35" s="294">
        <v>112576.68</v>
      </c>
      <c r="AD35" s="294">
        <v>950.66999999999973</v>
      </c>
      <c r="AE35" s="294">
        <v>0</v>
      </c>
      <c r="AF35" s="294">
        <v>297563.93999999936</v>
      </c>
      <c r="AG35" s="294">
        <v>13428.239999999983</v>
      </c>
      <c r="AH35" s="294">
        <v>0</v>
      </c>
      <c r="AI35" s="294">
        <v>0</v>
      </c>
      <c r="AJ35" s="294">
        <v>0</v>
      </c>
      <c r="AK35" s="294">
        <v>8534.07</v>
      </c>
      <c r="AL35" s="294">
        <v>0</v>
      </c>
      <c r="AM35" s="294">
        <v>213.8</v>
      </c>
      <c r="AN35" s="294">
        <v>1430.2899999999997</v>
      </c>
      <c r="AO35" s="294">
        <v>13804.080000000002</v>
      </c>
      <c r="AP35" s="294">
        <v>0</v>
      </c>
      <c r="AQ35" s="294">
        <v>21259.78</v>
      </c>
      <c r="AR35" s="294">
        <v>20790.870000000006</v>
      </c>
      <c r="AS35" s="294">
        <v>0</v>
      </c>
      <c r="AT35" s="294">
        <v>48.08</v>
      </c>
      <c r="AU35" s="294">
        <v>14505.859999999999</v>
      </c>
      <c r="AV35" s="294">
        <v>4552.38</v>
      </c>
      <c r="AW35" s="294">
        <v>0</v>
      </c>
      <c r="AX35" s="294">
        <v>7310.33</v>
      </c>
      <c r="AY35" s="294">
        <v>21832.029999999995</v>
      </c>
      <c r="AZ35" s="294">
        <v>0</v>
      </c>
      <c r="BA35" s="294">
        <v>60215.31</v>
      </c>
      <c r="BB35" s="294">
        <v>0</v>
      </c>
      <c r="BC35" s="294">
        <v>0</v>
      </c>
      <c r="BD35" s="294">
        <v>0</v>
      </c>
      <c r="BE35" s="294">
        <v>720926.37999999942</v>
      </c>
      <c r="BF35" s="294">
        <v>164643.89000000007</v>
      </c>
      <c r="BG35" s="294">
        <v>129212.30000000063</v>
      </c>
      <c r="BH35" s="294">
        <v>293856.1900000007</v>
      </c>
      <c r="BI35" s="294">
        <v>4938.25</v>
      </c>
      <c r="BJ35" s="294">
        <v>0</v>
      </c>
      <c r="BK35" s="294">
        <v>0</v>
      </c>
      <c r="BL35" s="294">
        <v>4938.25</v>
      </c>
      <c r="BM35" s="294">
        <v>0</v>
      </c>
      <c r="BN35" s="294">
        <v>0</v>
      </c>
      <c r="BO35" s="294">
        <v>0</v>
      </c>
      <c r="BP35" s="294">
        <v>0</v>
      </c>
      <c r="BQ35" s="294">
        <v>0</v>
      </c>
      <c r="BR35" s="294">
        <v>40338</v>
      </c>
      <c r="BS35" s="294">
        <v>4938.25</v>
      </c>
      <c r="BT35" s="294">
        <v>45276.25</v>
      </c>
      <c r="BU35" s="294">
        <v>0</v>
      </c>
      <c r="BV35" s="294">
        <v>0</v>
      </c>
      <c r="BW35" s="294">
        <v>0</v>
      </c>
      <c r="BX35" s="294">
        <v>0</v>
      </c>
      <c r="BY35" s="294">
        <v>0</v>
      </c>
      <c r="BZ35" s="294">
        <v>0</v>
      </c>
      <c r="CA35" s="294">
        <v>0</v>
      </c>
      <c r="CB35" s="294">
        <v>0</v>
      </c>
      <c r="CC35" s="294">
        <v>0</v>
      </c>
      <c r="CD35" s="294">
        <v>293856.1900000007</v>
      </c>
      <c r="CE35" s="294">
        <v>0</v>
      </c>
      <c r="CF35" s="294">
        <v>45276.25</v>
      </c>
      <c r="CG35" s="294">
        <v>0</v>
      </c>
      <c r="CH35" s="294">
        <v>0</v>
      </c>
      <c r="CI35" s="294">
        <f t="shared" si="0"/>
        <v>339132.4400000007</v>
      </c>
      <c r="CJ35" s="294">
        <v>28124.27</v>
      </c>
      <c r="CK35" s="294">
        <v>0</v>
      </c>
      <c r="CL35" s="294">
        <v>0</v>
      </c>
      <c r="CM35" s="294">
        <v>28124.27</v>
      </c>
      <c r="CN35" s="294">
        <v>0</v>
      </c>
      <c r="CO35" s="294">
        <v>0</v>
      </c>
      <c r="CP35" s="294">
        <v>0</v>
      </c>
      <c r="CQ35" s="294">
        <v>0</v>
      </c>
      <c r="CR35" s="294">
        <v>306012.84000000003</v>
      </c>
      <c r="CS35" s="294">
        <v>334137.11000000004</v>
      </c>
      <c r="CT35" s="294">
        <v>0</v>
      </c>
      <c r="CU35" s="294">
        <v>0</v>
      </c>
      <c r="CV35" s="294">
        <v>0</v>
      </c>
      <c r="CW35" s="294">
        <v>0</v>
      </c>
      <c r="CX35" s="294"/>
      <c r="CY35" s="294"/>
      <c r="CZ35" s="294"/>
      <c r="DA35" s="294">
        <v>0</v>
      </c>
      <c r="DB35" s="294">
        <v>0</v>
      </c>
      <c r="DC35" s="294">
        <v>0</v>
      </c>
      <c r="DD35" s="294">
        <v>4995.32</v>
      </c>
      <c r="DE35" s="294">
        <v>0</v>
      </c>
      <c r="DF35" s="294">
        <v>0</v>
      </c>
      <c r="DG35" s="294">
        <v>0</v>
      </c>
      <c r="DH35" s="294">
        <v>0</v>
      </c>
      <c r="DI35" s="294">
        <v>0</v>
      </c>
      <c r="DJ35" s="294">
        <v>0</v>
      </c>
      <c r="DK35" s="294">
        <v>4995.32</v>
      </c>
      <c r="DL35" s="294">
        <v>0</v>
      </c>
      <c r="DM35" s="294">
        <v>0</v>
      </c>
      <c r="DN35" s="294">
        <v>0</v>
      </c>
      <c r="DO35" s="294">
        <v>0</v>
      </c>
      <c r="DP35" s="294">
        <v>0</v>
      </c>
      <c r="DQ35" s="324">
        <v>9.9999999511055648E-3</v>
      </c>
      <c r="DR35" s="295">
        <v>546429.49999999942</v>
      </c>
      <c r="DS35" s="325">
        <v>174496.88</v>
      </c>
      <c r="DT35" s="295">
        <v>21832.029999999995</v>
      </c>
      <c r="DU35" s="295">
        <v>26270.959999999999</v>
      </c>
      <c r="DV35" s="295">
        <v>27000</v>
      </c>
      <c r="DW35" s="295">
        <v>0</v>
      </c>
      <c r="DZ35"/>
      <c r="EA35"/>
    </row>
    <row r="36" spans="1:131">
      <c r="A36" s="321">
        <v>2238</v>
      </c>
      <c r="B36" s="322" t="s">
        <v>339</v>
      </c>
      <c r="C36" s="321">
        <v>2238</v>
      </c>
      <c r="D36" s="323" t="s">
        <v>817</v>
      </c>
      <c r="E36" s="323" t="s">
        <v>539</v>
      </c>
      <c r="F36" s="323" t="s">
        <v>818</v>
      </c>
      <c r="G36" s="323" t="s">
        <v>537</v>
      </c>
      <c r="H36" s="294">
        <v>1112306.04</v>
      </c>
      <c r="I36" s="294">
        <v>0</v>
      </c>
      <c r="J36" s="294">
        <v>51251.15</v>
      </c>
      <c r="K36" s="294">
        <v>0</v>
      </c>
      <c r="L36" s="294">
        <v>103140</v>
      </c>
      <c r="M36" s="294">
        <v>1600</v>
      </c>
      <c r="N36" s="294">
        <v>0</v>
      </c>
      <c r="O36" s="294">
        <v>0</v>
      </c>
      <c r="P36" s="294">
        <v>20252.080000000002</v>
      </c>
      <c r="Q36" s="294">
        <v>0</v>
      </c>
      <c r="R36" s="294">
        <v>0</v>
      </c>
      <c r="S36" s="294">
        <v>0</v>
      </c>
      <c r="T36" s="294">
        <v>2135.5100000000002</v>
      </c>
      <c r="U36" s="294">
        <v>4404.3500000000004</v>
      </c>
      <c r="V36" s="294">
        <v>0</v>
      </c>
      <c r="W36" s="294">
        <v>6006.57</v>
      </c>
      <c r="X36" s="294">
        <v>54985</v>
      </c>
      <c r="Y36" s="294">
        <v>1356080.7000000002</v>
      </c>
      <c r="Z36" s="294">
        <v>557027.37</v>
      </c>
      <c r="AA36" s="294">
        <v>25291.56</v>
      </c>
      <c r="AB36" s="294">
        <v>236164.01</v>
      </c>
      <c r="AC36" s="294">
        <v>54923.58</v>
      </c>
      <c r="AD36" s="294">
        <v>128654.67</v>
      </c>
      <c r="AE36" s="294">
        <v>16585.25</v>
      </c>
      <c r="AF36" s="294">
        <v>42127.15</v>
      </c>
      <c r="AG36" s="294">
        <v>933.34</v>
      </c>
      <c r="AH36" s="294">
        <v>1094.04</v>
      </c>
      <c r="AI36" s="294">
        <v>0</v>
      </c>
      <c r="AJ36" s="294">
        <v>0</v>
      </c>
      <c r="AK36" s="294">
        <v>11705.970000000001</v>
      </c>
      <c r="AL36" s="294">
        <v>3970.32</v>
      </c>
      <c r="AM36" s="294">
        <v>3682</v>
      </c>
      <c r="AN36" s="294">
        <v>5970.1</v>
      </c>
      <c r="AO36" s="294">
        <v>43767.03</v>
      </c>
      <c r="AP36" s="294">
        <v>13652.72</v>
      </c>
      <c r="AQ36" s="294">
        <v>23182.54</v>
      </c>
      <c r="AR36" s="294">
        <v>58161.840000000004</v>
      </c>
      <c r="AS36" s="294">
        <v>682.15999999999985</v>
      </c>
      <c r="AT36" s="294">
        <v>0</v>
      </c>
      <c r="AU36" s="294">
        <v>15389.59</v>
      </c>
      <c r="AV36" s="294">
        <v>5139.75</v>
      </c>
      <c r="AW36" s="294">
        <v>0</v>
      </c>
      <c r="AX36" s="294">
        <v>77894.05</v>
      </c>
      <c r="AY36" s="294">
        <v>172718.66</v>
      </c>
      <c r="AZ36" s="294">
        <v>66694.930000000008</v>
      </c>
      <c r="BA36" s="294">
        <v>104895.33</v>
      </c>
      <c r="BB36" s="294">
        <v>0</v>
      </c>
      <c r="BC36" s="294">
        <v>0</v>
      </c>
      <c r="BD36" s="294">
        <v>0</v>
      </c>
      <c r="BE36" s="294">
        <v>1670307.9600000004</v>
      </c>
      <c r="BF36" s="294">
        <v>75771.780000000144</v>
      </c>
      <c r="BG36" s="294">
        <v>-314227.26000000024</v>
      </c>
      <c r="BH36" s="294">
        <v>-238455.4800000001</v>
      </c>
      <c r="BI36" s="294">
        <v>6000.25</v>
      </c>
      <c r="BJ36" s="294">
        <v>0</v>
      </c>
      <c r="BK36" s="294">
        <v>0</v>
      </c>
      <c r="BL36" s="294">
        <v>6000.25</v>
      </c>
      <c r="BM36" s="294">
        <v>0</v>
      </c>
      <c r="BN36" s="294">
        <v>1400</v>
      </c>
      <c r="BO36" s="294">
        <v>0</v>
      </c>
      <c r="BP36" s="294">
        <v>16041.75</v>
      </c>
      <c r="BQ36" s="294">
        <v>17441.75</v>
      </c>
      <c r="BR36" s="294">
        <v>28459.15</v>
      </c>
      <c r="BS36" s="294">
        <v>-11441.5</v>
      </c>
      <c r="BT36" s="294">
        <v>17017.650000000001</v>
      </c>
      <c r="BU36" s="294">
        <v>0</v>
      </c>
      <c r="BV36" s="294">
        <v>0</v>
      </c>
      <c r="BW36" s="294">
        <v>0</v>
      </c>
      <c r="BX36" s="294">
        <v>0</v>
      </c>
      <c r="BY36" s="294">
        <v>0</v>
      </c>
      <c r="BZ36" s="294">
        <v>0</v>
      </c>
      <c r="CA36" s="294">
        <v>0</v>
      </c>
      <c r="CB36" s="294">
        <v>0</v>
      </c>
      <c r="CC36" s="294">
        <v>0</v>
      </c>
      <c r="CD36" s="294">
        <v>-238455.4800000001</v>
      </c>
      <c r="CE36" s="294">
        <v>0</v>
      </c>
      <c r="CF36" s="294">
        <v>17017.650000000001</v>
      </c>
      <c r="CG36" s="294">
        <v>0</v>
      </c>
      <c r="CH36" s="294">
        <v>0</v>
      </c>
      <c r="CI36" s="294">
        <f t="shared" si="0"/>
        <v>-221437.8300000001</v>
      </c>
      <c r="CJ36" s="294">
        <v>255537.43</v>
      </c>
      <c r="CK36" s="294">
        <v>17565.18</v>
      </c>
      <c r="CL36" s="294">
        <v>0</v>
      </c>
      <c r="CM36" s="294">
        <v>237972.25</v>
      </c>
      <c r="CN36" s="294">
        <v>0</v>
      </c>
      <c r="CO36" s="294">
        <v>0</v>
      </c>
      <c r="CP36" s="294">
        <v>8890.7000000000007</v>
      </c>
      <c r="CQ36" s="294">
        <v>34224.239999999998</v>
      </c>
      <c r="CR36" s="294">
        <v>0</v>
      </c>
      <c r="CS36" s="294">
        <v>281087.19</v>
      </c>
      <c r="CT36" s="294">
        <v>0</v>
      </c>
      <c r="CU36" s="294">
        <v>0</v>
      </c>
      <c r="CV36" s="294">
        <v>0</v>
      </c>
      <c r="CW36" s="294">
        <v>0</v>
      </c>
      <c r="CX36" s="294"/>
      <c r="CY36" s="294"/>
      <c r="CZ36" s="294"/>
      <c r="DA36" s="294">
        <v>0</v>
      </c>
      <c r="DB36" s="294">
        <v>0</v>
      </c>
      <c r="DC36" s="294">
        <v>0</v>
      </c>
      <c r="DD36" s="294">
        <v>0</v>
      </c>
      <c r="DE36" s="294">
        <v>0</v>
      </c>
      <c r="DF36" s="294">
        <v>0</v>
      </c>
      <c r="DG36" s="294">
        <v>-19359.060000000001</v>
      </c>
      <c r="DH36" s="294">
        <v>-610.24</v>
      </c>
      <c r="DI36" s="294">
        <v>0</v>
      </c>
      <c r="DJ36" s="294">
        <v>0</v>
      </c>
      <c r="DK36" s="294">
        <v>-19969.300000000003</v>
      </c>
      <c r="DL36" s="294">
        <v>0</v>
      </c>
      <c r="DM36" s="294">
        <v>19239.47</v>
      </c>
      <c r="DN36" s="294">
        <v>-159.93</v>
      </c>
      <c r="DO36" s="294">
        <v>-501635.45</v>
      </c>
      <c r="DP36" s="294">
        <v>0</v>
      </c>
      <c r="DQ36" s="324"/>
      <c r="DR36" s="295">
        <v>1061706.9300000002</v>
      </c>
      <c r="DS36" s="325">
        <v>608601.03000000026</v>
      </c>
      <c r="DT36" s="295">
        <v>172718.66</v>
      </c>
      <c r="DU36" s="295">
        <v>22387.590000000004</v>
      </c>
      <c r="DV36" s="295">
        <v>4404.3500000000004</v>
      </c>
      <c r="DW36" s="295">
        <v>-482555.91000000003</v>
      </c>
      <c r="DZ36"/>
      <c r="EA36"/>
    </row>
    <row r="37" spans="1:131">
      <c r="A37" s="321">
        <v>2236</v>
      </c>
      <c r="B37" s="322" t="s">
        <v>340</v>
      </c>
      <c r="C37" s="321">
        <v>2236</v>
      </c>
      <c r="D37" s="323" t="s">
        <v>817</v>
      </c>
      <c r="E37" s="323" t="s">
        <v>539</v>
      </c>
      <c r="F37" s="323" t="s">
        <v>818</v>
      </c>
      <c r="G37" s="323" t="s">
        <v>537</v>
      </c>
      <c r="H37" s="294">
        <v>1371168.3</v>
      </c>
      <c r="I37" s="294">
        <v>0</v>
      </c>
      <c r="J37" s="294">
        <v>59255.09</v>
      </c>
      <c r="K37" s="294">
        <v>0</v>
      </c>
      <c r="L37" s="294">
        <v>188850</v>
      </c>
      <c r="M37" s="294">
        <v>856.93</v>
      </c>
      <c r="N37" s="294">
        <v>0</v>
      </c>
      <c r="O37" s="294">
        <v>521</v>
      </c>
      <c r="P37" s="294">
        <v>243767.11</v>
      </c>
      <c r="Q37" s="294">
        <v>12605.96</v>
      </c>
      <c r="R37" s="294">
        <v>0</v>
      </c>
      <c r="S37" s="294">
        <v>0</v>
      </c>
      <c r="T37" s="294">
        <v>13831.77</v>
      </c>
      <c r="U37" s="294">
        <v>0</v>
      </c>
      <c r="V37" s="294">
        <v>0</v>
      </c>
      <c r="W37" s="294">
        <v>7926.25</v>
      </c>
      <c r="X37" s="294">
        <v>18219</v>
      </c>
      <c r="Y37" s="294">
        <v>1917001.4100000001</v>
      </c>
      <c r="Z37" s="294">
        <v>846293.88</v>
      </c>
      <c r="AA37" s="294">
        <v>41985.2</v>
      </c>
      <c r="AB37" s="294">
        <v>294038.34000000003</v>
      </c>
      <c r="AC37" s="294">
        <v>68237.929999999993</v>
      </c>
      <c r="AD37" s="294">
        <v>90815.6</v>
      </c>
      <c r="AE37" s="294">
        <v>0</v>
      </c>
      <c r="AF37" s="294">
        <v>56281.35</v>
      </c>
      <c r="AG37" s="294">
        <v>603.29</v>
      </c>
      <c r="AH37" s="294">
        <v>396</v>
      </c>
      <c r="AI37" s="294">
        <v>0</v>
      </c>
      <c r="AJ37" s="294">
        <v>0</v>
      </c>
      <c r="AK37" s="294">
        <v>9645.0400000000009</v>
      </c>
      <c r="AL37" s="294">
        <v>2572.66</v>
      </c>
      <c r="AM37" s="294">
        <v>691.24</v>
      </c>
      <c r="AN37" s="294">
        <v>9690.7199999999993</v>
      </c>
      <c r="AO37" s="294">
        <v>33883.46</v>
      </c>
      <c r="AP37" s="294">
        <v>16027.1</v>
      </c>
      <c r="AQ37" s="294">
        <v>5000.0600000000004</v>
      </c>
      <c r="AR37" s="294">
        <v>57150.63</v>
      </c>
      <c r="AS37" s="294">
        <v>4807.92</v>
      </c>
      <c r="AT37" s="294">
        <v>0</v>
      </c>
      <c r="AU37" s="294">
        <v>1960.39</v>
      </c>
      <c r="AV37" s="294">
        <v>5139.75</v>
      </c>
      <c r="AW37" s="294">
        <v>0</v>
      </c>
      <c r="AX37" s="294">
        <v>79759.81</v>
      </c>
      <c r="AY37" s="294">
        <v>2999.88</v>
      </c>
      <c r="AZ37" s="294">
        <v>16920.91</v>
      </c>
      <c r="BA37" s="294">
        <v>124219.2</v>
      </c>
      <c r="BB37" s="294">
        <v>0</v>
      </c>
      <c r="BC37" s="294">
        <v>0</v>
      </c>
      <c r="BD37" s="294">
        <v>0</v>
      </c>
      <c r="BE37" s="294">
        <v>1769120.3599999996</v>
      </c>
      <c r="BF37" s="294">
        <v>159095.68000000008</v>
      </c>
      <c r="BG37" s="294">
        <v>147881.05000000051</v>
      </c>
      <c r="BH37" s="294">
        <v>306976.73000000056</v>
      </c>
      <c r="BI37" s="294">
        <v>6508.75</v>
      </c>
      <c r="BJ37" s="294">
        <v>0</v>
      </c>
      <c r="BK37" s="294">
        <v>0</v>
      </c>
      <c r="BL37" s="294">
        <v>6508.75</v>
      </c>
      <c r="BM37" s="294">
        <v>0</v>
      </c>
      <c r="BN37" s="294">
        <v>0</v>
      </c>
      <c r="BO37" s="294">
        <v>13365</v>
      </c>
      <c r="BP37" s="294">
        <v>0</v>
      </c>
      <c r="BQ37" s="294">
        <v>13365</v>
      </c>
      <c r="BR37" s="294">
        <v>19814.550000000003</v>
      </c>
      <c r="BS37" s="294">
        <v>-6856.25</v>
      </c>
      <c r="BT37" s="294">
        <v>12958.300000000003</v>
      </c>
      <c r="BU37" s="294">
        <v>0</v>
      </c>
      <c r="BV37" s="294">
        <v>0</v>
      </c>
      <c r="BW37" s="294">
        <v>0</v>
      </c>
      <c r="BX37" s="294">
        <v>0</v>
      </c>
      <c r="BY37" s="294">
        <v>0</v>
      </c>
      <c r="BZ37" s="294">
        <v>0</v>
      </c>
      <c r="CA37" s="294">
        <v>0</v>
      </c>
      <c r="CB37" s="294">
        <v>0</v>
      </c>
      <c r="CC37" s="294">
        <v>0</v>
      </c>
      <c r="CD37" s="294">
        <v>306976.73000000056</v>
      </c>
      <c r="CE37" s="294">
        <v>0</v>
      </c>
      <c r="CF37" s="294">
        <v>12958.300000000003</v>
      </c>
      <c r="CG37" s="294">
        <v>0</v>
      </c>
      <c r="CH37" s="294">
        <v>0</v>
      </c>
      <c r="CI37" s="294">
        <f t="shared" si="0"/>
        <v>319935.03000000055</v>
      </c>
      <c r="CJ37" s="294">
        <v>476367.49</v>
      </c>
      <c r="CK37" s="294">
        <v>107789.34</v>
      </c>
      <c r="CL37" s="294">
        <v>0</v>
      </c>
      <c r="CM37" s="294">
        <v>368578.15</v>
      </c>
      <c r="CN37" s="294">
        <v>0</v>
      </c>
      <c r="CO37" s="294">
        <v>0</v>
      </c>
      <c r="CP37" s="294">
        <v>3708.35</v>
      </c>
      <c r="CQ37" s="294">
        <v>4569.6400000000003</v>
      </c>
      <c r="CR37" s="294">
        <v>0</v>
      </c>
      <c r="CS37" s="294">
        <v>376856.14</v>
      </c>
      <c r="CT37" s="294">
        <v>513.65</v>
      </c>
      <c r="CU37" s="294">
        <v>0</v>
      </c>
      <c r="CV37" s="294">
        <v>0</v>
      </c>
      <c r="CW37" s="294">
        <v>513.65</v>
      </c>
      <c r="CX37" s="294"/>
      <c r="CY37" s="294"/>
      <c r="CZ37" s="294"/>
      <c r="DA37" s="294">
        <v>0</v>
      </c>
      <c r="DB37" s="294">
        <v>513.65</v>
      </c>
      <c r="DC37" s="294">
        <v>0</v>
      </c>
      <c r="DD37" s="294">
        <v>0</v>
      </c>
      <c r="DE37" s="294">
        <v>0</v>
      </c>
      <c r="DF37" s="294">
        <v>0</v>
      </c>
      <c r="DG37" s="294">
        <v>-10499.88</v>
      </c>
      <c r="DH37" s="294">
        <v>-46535.3</v>
      </c>
      <c r="DI37" s="294">
        <v>0</v>
      </c>
      <c r="DJ37" s="294">
        <v>0</v>
      </c>
      <c r="DK37" s="294">
        <v>-57035.18</v>
      </c>
      <c r="DL37" s="294">
        <v>0</v>
      </c>
      <c r="DM37" s="294">
        <v>0</v>
      </c>
      <c r="DN37" s="294">
        <v>-399.6</v>
      </c>
      <c r="DO37" s="294">
        <v>0</v>
      </c>
      <c r="DP37" s="294">
        <v>0</v>
      </c>
      <c r="DQ37" s="324"/>
      <c r="DR37" s="295">
        <v>1398255.59</v>
      </c>
      <c r="DS37" s="325">
        <v>370864.76999999955</v>
      </c>
      <c r="DT37" s="295">
        <v>2999.88</v>
      </c>
      <c r="DU37" s="295">
        <v>270725.83999999997</v>
      </c>
      <c r="DV37" s="295">
        <v>0</v>
      </c>
      <c r="DW37" s="295">
        <v>-399.6</v>
      </c>
      <c r="DZ37"/>
      <c r="EA37"/>
    </row>
    <row r="38" spans="1:131">
      <c r="A38" s="321">
        <v>2465</v>
      </c>
      <c r="B38" s="322" t="s">
        <v>485</v>
      </c>
      <c r="C38" s="321">
        <v>2465</v>
      </c>
      <c r="D38" s="323" t="s">
        <v>817</v>
      </c>
      <c r="E38" s="323" t="s">
        <v>539</v>
      </c>
      <c r="F38" s="323" t="s">
        <v>818</v>
      </c>
      <c r="G38" s="323" t="s">
        <v>537</v>
      </c>
      <c r="H38" s="294">
        <v>2780546.39</v>
      </c>
      <c r="I38" s="294">
        <v>0</v>
      </c>
      <c r="J38" s="294">
        <v>116851.66</v>
      </c>
      <c r="K38" s="294">
        <v>0</v>
      </c>
      <c r="L38" s="294">
        <v>196630</v>
      </c>
      <c r="M38" s="294">
        <v>200</v>
      </c>
      <c r="N38" s="294">
        <v>0</v>
      </c>
      <c r="O38" s="294">
        <v>0</v>
      </c>
      <c r="P38" s="294">
        <v>38933.110000000008</v>
      </c>
      <c r="Q38" s="294">
        <v>0</v>
      </c>
      <c r="R38" s="294">
        <v>0</v>
      </c>
      <c r="S38" s="294">
        <v>0</v>
      </c>
      <c r="T38" s="294">
        <v>118134.64000000001</v>
      </c>
      <c r="U38" s="294">
        <v>0</v>
      </c>
      <c r="V38" s="294">
        <v>0</v>
      </c>
      <c r="W38" s="294">
        <v>9949.17</v>
      </c>
      <c r="X38" s="294">
        <v>86032</v>
      </c>
      <c r="Y38" s="294">
        <v>3347276.97</v>
      </c>
      <c r="Z38" s="294">
        <v>1195977.0000000005</v>
      </c>
      <c r="AA38" s="294">
        <v>-921.81999999999994</v>
      </c>
      <c r="AB38" s="294">
        <v>691.64</v>
      </c>
      <c r="AC38" s="294">
        <v>399219.14000000071</v>
      </c>
      <c r="AD38" s="294">
        <v>0</v>
      </c>
      <c r="AE38" s="294">
        <v>0</v>
      </c>
      <c r="AF38" s="294">
        <v>533680.99999999884</v>
      </c>
      <c r="AG38" s="294">
        <v>26516.080000000024</v>
      </c>
      <c r="AH38" s="294">
        <v>141.5</v>
      </c>
      <c r="AI38" s="294">
        <v>0</v>
      </c>
      <c r="AJ38" s="294">
        <v>0</v>
      </c>
      <c r="AK38" s="294">
        <v>19997.75</v>
      </c>
      <c r="AL38" s="294">
        <v>0</v>
      </c>
      <c r="AM38" s="294">
        <v>83.29</v>
      </c>
      <c r="AN38" s="294">
        <v>0</v>
      </c>
      <c r="AO38" s="294">
        <v>43003.290000000008</v>
      </c>
      <c r="AP38" s="294">
        <v>46033.17</v>
      </c>
      <c r="AQ38" s="294">
        <v>134.16</v>
      </c>
      <c r="AR38" s="294">
        <v>432644.39</v>
      </c>
      <c r="AS38" s="294">
        <v>1627</v>
      </c>
      <c r="AT38" s="294">
        <v>0</v>
      </c>
      <c r="AU38" s="294">
        <v>5973.1299999999992</v>
      </c>
      <c r="AV38" s="294">
        <v>9471</v>
      </c>
      <c r="AW38" s="294">
        <v>0</v>
      </c>
      <c r="AX38" s="294">
        <v>12391.380000000001</v>
      </c>
      <c r="AY38" s="294">
        <v>1120</v>
      </c>
      <c r="AZ38" s="294">
        <v>11554.47</v>
      </c>
      <c r="BA38" s="294">
        <v>36639.19</v>
      </c>
      <c r="BB38" s="294">
        <v>612870</v>
      </c>
      <c r="BC38" s="294">
        <v>0</v>
      </c>
      <c r="BD38" s="294">
        <v>0</v>
      </c>
      <c r="BE38" s="294">
        <v>3388846.7600000002</v>
      </c>
      <c r="BF38" s="294">
        <v>186196.57999999967</v>
      </c>
      <c r="BG38" s="294">
        <v>-41569.790000000037</v>
      </c>
      <c r="BH38" s="294">
        <v>144626.78999999963</v>
      </c>
      <c r="BI38" s="294">
        <v>9008.5</v>
      </c>
      <c r="BJ38" s="294">
        <v>0</v>
      </c>
      <c r="BK38" s="294">
        <v>0</v>
      </c>
      <c r="BL38" s="294">
        <v>9008.5</v>
      </c>
      <c r="BM38" s="294">
        <v>0</v>
      </c>
      <c r="BN38" s="294">
        <v>18625.2</v>
      </c>
      <c r="BO38" s="294">
        <v>0</v>
      </c>
      <c r="BP38" s="294">
        <v>0</v>
      </c>
      <c r="BQ38" s="294">
        <v>18625.2</v>
      </c>
      <c r="BR38" s="294">
        <v>26988.69</v>
      </c>
      <c r="BS38" s="294">
        <v>-9616.7000000000007</v>
      </c>
      <c r="BT38" s="294">
        <v>17371.989999999998</v>
      </c>
      <c r="BU38" s="294">
        <v>0</v>
      </c>
      <c r="BV38" s="294">
        <v>0</v>
      </c>
      <c r="BW38" s="294">
        <v>0</v>
      </c>
      <c r="BX38" s="294">
        <v>0</v>
      </c>
      <c r="BY38" s="294">
        <v>0</v>
      </c>
      <c r="BZ38" s="294">
        <v>0</v>
      </c>
      <c r="CA38" s="294">
        <v>0</v>
      </c>
      <c r="CB38" s="294">
        <v>0</v>
      </c>
      <c r="CC38" s="294">
        <v>0</v>
      </c>
      <c r="CD38" s="294">
        <v>144626.78999999963</v>
      </c>
      <c r="CE38" s="294">
        <v>0</v>
      </c>
      <c r="CF38" s="294">
        <v>17371.989999999998</v>
      </c>
      <c r="CG38" s="294">
        <v>0</v>
      </c>
      <c r="CH38" s="294">
        <v>0</v>
      </c>
      <c r="CI38" s="294">
        <f t="shared" si="0"/>
        <v>161998.77999999962</v>
      </c>
      <c r="CJ38" s="294">
        <v>399345.87</v>
      </c>
      <c r="CK38" s="294">
        <v>43698</v>
      </c>
      <c r="CL38" s="294">
        <v>0</v>
      </c>
      <c r="CM38" s="294">
        <v>355647.87</v>
      </c>
      <c r="CN38" s="294">
        <v>0</v>
      </c>
      <c r="CO38" s="294">
        <v>0</v>
      </c>
      <c r="CP38" s="294">
        <v>14284.42</v>
      </c>
      <c r="CQ38" s="294">
        <v>8169.7</v>
      </c>
      <c r="CR38" s="294">
        <v>-200022.28</v>
      </c>
      <c r="CS38" s="294">
        <v>178079.71</v>
      </c>
      <c r="CT38" s="294">
        <v>0</v>
      </c>
      <c r="CU38" s="294">
        <v>0</v>
      </c>
      <c r="CV38" s="294">
        <v>0</v>
      </c>
      <c r="CW38" s="294">
        <v>0</v>
      </c>
      <c r="CX38" s="294"/>
      <c r="CY38" s="294"/>
      <c r="CZ38" s="294"/>
      <c r="DA38" s="294">
        <v>0</v>
      </c>
      <c r="DB38" s="294">
        <v>0</v>
      </c>
      <c r="DC38" s="294">
        <v>0</v>
      </c>
      <c r="DD38" s="294">
        <v>5135.55</v>
      </c>
      <c r="DE38" s="294">
        <v>0</v>
      </c>
      <c r="DF38" s="294">
        <v>0</v>
      </c>
      <c r="DG38" s="294">
        <v>-21216.79</v>
      </c>
      <c r="DH38" s="294">
        <v>0</v>
      </c>
      <c r="DI38" s="294">
        <v>0</v>
      </c>
      <c r="DJ38" s="294">
        <v>0</v>
      </c>
      <c r="DK38" s="294">
        <v>-16081.240000000002</v>
      </c>
      <c r="DL38" s="294">
        <v>0</v>
      </c>
      <c r="DM38" s="294">
        <v>0</v>
      </c>
      <c r="DN38" s="294">
        <v>0</v>
      </c>
      <c r="DO38" s="294">
        <v>0</v>
      </c>
      <c r="DP38" s="294">
        <v>0</v>
      </c>
      <c r="DQ38" s="324">
        <v>0.30999999999767169</v>
      </c>
      <c r="DR38" s="295">
        <v>2155163.04</v>
      </c>
      <c r="DS38" s="325">
        <v>1233683.7200000002</v>
      </c>
      <c r="DT38" s="295">
        <v>1120</v>
      </c>
      <c r="DU38" s="295">
        <v>157067.75000000003</v>
      </c>
      <c r="DV38" s="295">
        <v>0</v>
      </c>
      <c r="DW38" s="295">
        <v>0</v>
      </c>
    </row>
    <row r="39" spans="1:131">
      <c r="A39" s="321">
        <v>4801</v>
      </c>
      <c r="B39" s="322" t="s">
        <v>341</v>
      </c>
      <c r="C39" s="321">
        <v>4801</v>
      </c>
      <c r="D39" s="323" t="s">
        <v>817</v>
      </c>
      <c r="E39" s="323" t="s">
        <v>543</v>
      </c>
      <c r="F39" s="323" t="s">
        <v>818</v>
      </c>
      <c r="G39" s="323" t="s">
        <v>537</v>
      </c>
      <c r="H39" s="294">
        <v>6132375.4400000004</v>
      </c>
      <c r="I39" s="294">
        <v>0</v>
      </c>
      <c r="J39" s="294">
        <v>111667.26</v>
      </c>
      <c r="K39" s="294">
        <v>0</v>
      </c>
      <c r="L39" s="294">
        <v>394370</v>
      </c>
      <c r="M39" s="294">
        <v>6228.22</v>
      </c>
      <c r="N39" s="294">
        <v>0</v>
      </c>
      <c r="O39" s="294">
        <v>40880.04</v>
      </c>
      <c r="P39" s="294">
        <v>1673.14</v>
      </c>
      <c r="Q39" s="294">
        <v>168698.88</v>
      </c>
      <c r="R39" s="294">
        <v>0</v>
      </c>
      <c r="S39" s="294">
        <v>0</v>
      </c>
      <c r="T39" s="294">
        <v>43897.65</v>
      </c>
      <c r="U39" s="294">
        <v>144659.37</v>
      </c>
      <c r="V39" s="294">
        <v>0</v>
      </c>
      <c r="W39" s="294">
        <v>37056</v>
      </c>
      <c r="X39" s="294">
        <v>0</v>
      </c>
      <c r="Y39" s="294">
        <v>7081506</v>
      </c>
      <c r="Z39" s="294">
        <v>3910670.74</v>
      </c>
      <c r="AA39" s="294">
        <v>0</v>
      </c>
      <c r="AB39" s="294">
        <v>692743.22</v>
      </c>
      <c r="AC39" s="294">
        <v>145582.78</v>
      </c>
      <c r="AD39" s="294">
        <v>301240.46000000002</v>
      </c>
      <c r="AE39" s="294">
        <v>189060.05</v>
      </c>
      <c r="AF39" s="294">
        <v>69166.559999999998</v>
      </c>
      <c r="AG39" s="294">
        <v>50180.37</v>
      </c>
      <c r="AH39" s="294">
        <v>48796.14</v>
      </c>
      <c r="AI39" s="294">
        <v>0</v>
      </c>
      <c r="AJ39" s="294">
        <v>4014.98</v>
      </c>
      <c r="AK39" s="294">
        <v>334915.34999999998</v>
      </c>
      <c r="AL39" s="294">
        <v>9950</v>
      </c>
      <c r="AM39" s="294">
        <v>5844.41</v>
      </c>
      <c r="AN39" s="294">
        <v>18926.41</v>
      </c>
      <c r="AO39" s="294">
        <v>159220.21</v>
      </c>
      <c r="AP39" s="294">
        <v>24697.86</v>
      </c>
      <c r="AQ39" s="294">
        <v>191394.81</v>
      </c>
      <c r="AR39" s="294">
        <v>369521.63</v>
      </c>
      <c r="AS39" s="294">
        <v>84511.08</v>
      </c>
      <c r="AT39" s="294">
        <v>117154.79</v>
      </c>
      <c r="AU39" s="294">
        <v>107523.91</v>
      </c>
      <c r="AV39" s="294">
        <v>24312.75</v>
      </c>
      <c r="AW39" s="294">
        <v>0</v>
      </c>
      <c r="AX39" s="294">
        <v>127428.73</v>
      </c>
      <c r="AY39" s="294">
        <v>38333.07</v>
      </c>
      <c r="AZ39" s="294">
        <v>99155.92</v>
      </c>
      <c r="BA39" s="294">
        <v>147691.78</v>
      </c>
      <c r="BB39" s="294">
        <v>0</v>
      </c>
      <c r="BC39" s="294">
        <v>0</v>
      </c>
      <c r="BD39" s="294">
        <v>0</v>
      </c>
      <c r="BE39" s="294">
        <v>7272038.0100000007</v>
      </c>
      <c r="BF39" s="294">
        <v>418700.14000000077</v>
      </c>
      <c r="BG39" s="294">
        <v>-190532.01000000071</v>
      </c>
      <c r="BH39" s="294">
        <v>228168.13000000006</v>
      </c>
      <c r="BI39" s="294">
        <v>18052.95</v>
      </c>
      <c r="BJ39" s="294">
        <v>0</v>
      </c>
      <c r="BK39" s="294">
        <v>0</v>
      </c>
      <c r="BL39" s="294">
        <v>18052.95</v>
      </c>
      <c r="BM39" s="294">
        <v>0</v>
      </c>
      <c r="BN39" s="294">
        <v>18052.95</v>
      </c>
      <c r="BO39" s="294">
        <v>0</v>
      </c>
      <c r="BP39" s="294">
        <v>0</v>
      </c>
      <c r="BQ39" s="294">
        <v>18052.95</v>
      </c>
      <c r="BR39" s="294">
        <v>0</v>
      </c>
      <c r="BS39" s="294">
        <v>0</v>
      </c>
      <c r="BT39" s="294">
        <v>0</v>
      </c>
      <c r="BU39" s="294">
        <v>0</v>
      </c>
      <c r="BV39" s="294">
        <v>0</v>
      </c>
      <c r="BW39" s="294">
        <v>0</v>
      </c>
      <c r="BX39" s="294">
        <v>0</v>
      </c>
      <c r="BY39" s="294">
        <v>0</v>
      </c>
      <c r="BZ39" s="294">
        <v>0</v>
      </c>
      <c r="CA39" s="294">
        <v>0</v>
      </c>
      <c r="CB39" s="294">
        <v>0</v>
      </c>
      <c r="CC39" s="294">
        <v>0</v>
      </c>
      <c r="CD39" s="294">
        <v>228168.13000000006</v>
      </c>
      <c r="CE39" s="294">
        <v>0</v>
      </c>
      <c r="CF39" s="294">
        <v>0</v>
      </c>
      <c r="CG39" s="294">
        <v>0</v>
      </c>
      <c r="CH39" s="294">
        <v>0</v>
      </c>
      <c r="CI39" s="294">
        <f t="shared" si="0"/>
        <v>228168.13000000006</v>
      </c>
      <c r="CJ39" s="294">
        <v>25000</v>
      </c>
      <c r="CK39" s="294">
        <v>459998.44</v>
      </c>
      <c r="CL39" s="294">
        <v>0</v>
      </c>
      <c r="CM39" s="294">
        <v>-434998.44</v>
      </c>
      <c r="CN39" s="294">
        <v>0</v>
      </c>
      <c r="CO39" s="294">
        <v>0</v>
      </c>
      <c r="CP39" s="294">
        <v>18390.62</v>
      </c>
      <c r="CQ39" s="294">
        <v>10908.48</v>
      </c>
      <c r="CR39" s="294">
        <v>0</v>
      </c>
      <c r="CS39" s="294">
        <v>-405699.34</v>
      </c>
      <c r="CT39" s="294">
        <v>660002.35</v>
      </c>
      <c r="CU39" s="294">
        <v>0</v>
      </c>
      <c r="CV39" s="294">
        <v>0</v>
      </c>
      <c r="CW39" s="294">
        <v>660002.35</v>
      </c>
      <c r="CX39" s="294"/>
      <c r="CY39" s="294"/>
      <c r="CZ39" s="294"/>
      <c r="DA39" s="294">
        <v>0</v>
      </c>
      <c r="DB39" s="294">
        <v>660002.35</v>
      </c>
      <c r="DC39" s="294">
        <v>0</v>
      </c>
      <c r="DD39" s="294">
        <v>0</v>
      </c>
      <c r="DE39" s="294">
        <v>0</v>
      </c>
      <c r="DF39" s="294">
        <v>0</v>
      </c>
      <c r="DG39" s="294">
        <v>-26134.880000000001</v>
      </c>
      <c r="DH39" s="294">
        <v>0</v>
      </c>
      <c r="DI39" s="294">
        <v>0</v>
      </c>
      <c r="DJ39" s="294">
        <v>0</v>
      </c>
      <c r="DK39" s="294">
        <v>-26134.880000000001</v>
      </c>
      <c r="DL39" s="294">
        <v>0</v>
      </c>
      <c r="DM39" s="294">
        <v>0</v>
      </c>
      <c r="DN39" s="294">
        <v>0</v>
      </c>
      <c r="DO39" s="294">
        <v>0</v>
      </c>
      <c r="DP39" s="294">
        <v>0</v>
      </c>
      <c r="DQ39" s="324"/>
      <c r="DR39" s="295">
        <v>5358644.18</v>
      </c>
      <c r="DS39" s="325">
        <v>1913393.830000001</v>
      </c>
      <c r="DT39" s="295">
        <v>38333.07</v>
      </c>
      <c r="DU39" s="295">
        <v>255149.71</v>
      </c>
      <c r="DV39" s="295">
        <v>144659.37</v>
      </c>
      <c r="DW39" s="295">
        <v>0</v>
      </c>
    </row>
    <row r="40" spans="1:131">
      <c r="A40" s="321">
        <v>1048</v>
      </c>
      <c r="B40" s="322" t="s">
        <v>407</v>
      </c>
      <c r="C40" s="321">
        <v>1048</v>
      </c>
      <c r="D40" s="323" t="s">
        <v>817</v>
      </c>
      <c r="E40" s="323" t="s">
        <v>536</v>
      </c>
      <c r="F40" s="323" t="s">
        <v>818</v>
      </c>
      <c r="G40" s="323" t="s">
        <v>537</v>
      </c>
      <c r="H40" s="294">
        <v>1035071.59</v>
      </c>
      <c r="I40" s="294">
        <v>0</v>
      </c>
      <c r="J40" s="294">
        <v>117337.81</v>
      </c>
      <c r="K40" s="294">
        <v>0</v>
      </c>
      <c r="L40" s="294">
        <v>0</v>
      </c>
      <c r="M40" s="294">
        <v>400</v>
      </c>
      <c r="N40" s="294">
        <v>0</v>
      </c>
      <c r="O40" s="294">
        <v>0</v>
      </c>
      <c r="P40" s="294">
        <v>9747.5099999999984</v>
      </c>
      <c r="Q40" s="294">
        <v>0</v>
      </c>
      <c r="R40" s="294">
        <v>0</v>
      </c>
      <c r="S40" s="294">
        <v>0</v>
      </c>
      <c r="T40" s="294">
        <v>16053.659999999998</v>
      </c>
      <c r="U40" s="294">
        <v>59603.35</v>
      </c>
      <c r="V40" s="294">
        <v>0</v>
      </c>
      <c r="W40" s="294">
        <v>0</v>
      </c>
      <c r="X40" s="294">
        <v>0</v>
      </c>
      <c r="Y40" s="294">
        <v>1238213.92</v>
      </c>
      <c r="Z40" s="294">
        <v>310805.82000000007</v>
      </c>
      <c r="AA40" s="294">
        <v>0</v>
      </c>
      <c r="AB40" s="294">
        <v>742113.24</v>
      </c>
      <c r="AC40" s="294">
        <v>14755.969999999012</v>
      </c>
      <c r="AD40" s="294">
        <v>73365.179999999993</v>
      </c>
      <c r="AE40" s="294">
        <v>0</v>
      </c>
      <c r="AF40" s="294">
        <v>0</v>
      </c>
      <c r="AG40" s="294">
        <v>185.96999999991021</v>
      </c>
      <c r="AH40" s="294">
        <v>6941.5</v>
      </c>
      <c r="AI40" s="294">
        <v>0</v>
      </c>
      <c r="AJ40" s="294">
        <v>434</v>
      </c>
      <c r="AK40" s="294">
        <v>13156.009999999998</v>
      </c>
      <c r="AL40" s="294">
        <v>0</v>
      </c>
      <c r="AM40" s="294">
        <v>3979.7899999999986</v>
      </c>
      <c r="AN40" s="294">
        <v>0</v>
      </c>
      <c r="AO40" s="294">
        <v>13653.72</v>
      </c>
      <c r="AP40" s="294">
        <v>0</v>
      </c>
      <c r="AQ40" s="294">
        <v>9835.3599999999988</v>
      </c>
      <c r="AR40" s="294">
        <v>34225.670000000035</v>
      </c>
      <c r="AS40" s="294">
        <v>1549.81</v>
      </c>
      <c r="AT40" s="294">
        <v>0</v>
      </c>
      <c r="AU40" s="294">
        <v>21096.950000000004</v>
      </c>
      <c r="AV40" s="294">
        <v>3291.75</v>
      </c>
      <c r="AW40" s="294">
        <v>0</v>
      </c>
      <c r="AX40" s="294">
        <v>31932.950000000008</v>
      </c>
      <c r="AY40" s="294">
        <v>6599.93</v>
      </c>
      <c r="AZ40" s="294">
        <v>0</v>
      </c>
      <c r="BA40" s="294">
        <v>52158.81</v>
      </c>
      <c r="BB40" s="294">
        <v>0</v>
      </c>
      <c r="BC40" s="294">
        <v>0</v>
      </c>
      <c r="BD40" s="294">
        <v>0</v>
      </c>
      <c r="BE40" s="294">
        <v>1340082.429999999</v>
      </c>
      <c r="BF40" s="294">
        <v>298839.58999999973</v>
      </c>
      <c r="BG40" s="294">
        <v>-101868.50999999908</v>
      </c>
      <c r="BH40" s="294">
        <v>196971.08000000066</v>
      </c>
      <c r="BI40" s="294">
        <v>5235.25</v>
      </c>
      <c r="BJ40" s="294">
        <v>0</v>
      </c>
      <c r="BK40" s="294">
        <v>0</v>
      </c>
      <c r="BL40" s="294">
        <v>5235.25</v>
      </c>
      <c r="BM40" s="294">
        <v>0</v>
      </c>
      <c r="BN40" s="294">
        <v>0</v>
      </c>
      <c r="BO40" s="294">
        <v>0</v>
      </c>
      <c r="BP40" s="294">
        <v>0</v>
      </c>
      <c r="BQ40" s="294">
        <v>0</v>
      </c>
      <c r="BR40" s="294">
        <v>31642.18</v>
      </c>
      <c r="BS40" s="294">
        <v>5235.25</v>
      </c>
      <c r="BT40" s="294">
        <v>36877.43</v>
      </c>
      <c r="BU40" s="294">
        <v>0</v>
      </c>
      <c r="BV40" s="294">
        <v>0</v>
      </c>
      <c r="BW40" s="294">
        <v>0</v>
      </c>
      <c r="BX40" s="294">
        <v>0</v>
      </c>
      <c r="BY40" s="294">
        <v>0</v>
      </c>
      <c r="BZ40" s="294">
        <v>0</v>
      </c>
      <c r="CA40" s="294">
        <v>0</v>
      </c>
      <c r="CB40" s="294">
        <v>0</v>
      </c>
      <c r="CC40" s="294">
        <v>0</v>
      </c>
      <c r="CD40" s="294">
        <v>196971.08000000066</v>
      </c>
      <c r="CE40" s="294">
        <v>0</v>
      </c>
      <c r="CF40" s="294">
        <v>36877.43</v>
      </c>
      <c r="CG40" s="294">
        <v>0</v>
      </c>
      <c r="CH40" s="294">
        <v>0</v>
      </c>
      <c r="CI40" s="294">
        <f t="shared" si="0"/>
        <v>233848.51000000065</v>
      </c>
      <c r="CJ40" s="294">
        <v>313217.59999999998</v>
      </c>
      <c r="CK40" s="294">
        <v>10194.9</v>
      </c>
      <c r="CL40" s="294">
        <v>0</v>
      </c>
      <c r="CM40" s="294">
        <v>303022.69999999995</v>
      </c>
      <c r="CN40" s="294">
        <v>0</v>
      </c>
      <c r="CO40" s="294">
        <v>0</v>
      </c>
      <c r="CP40" s="294">
        <v>1428.02</v>
      </c>
      <c r="CQ40" s="294">
        <v>619.11</v>
      </c>
      <c r="CR40" s="294">
        <v>-81467</v>
      </c>
      <c r="CS40" s="294">
        <v>223602.82999999996</v>
      </c>
      <c r="CT40" s="294">
        <v>0</v>
      </c>
      <c r="CU40" s="294">
        <v>0</v>
      </c>
      <c r="CV40" s="294">
        <v>0</v>
      </c>
      <c r="CW40" s="294">
        <v>0</v>
      </c>
      <c r="CX40" s="294"/>
      <c r="CY40" s="294"/>
      <c r="CZ40" s="294"/>
      <c r="DA40" s="294">
        <v>0</v>
      </c>
      <c r="DB40" s="294">
        <v>0</v>
      </c>
      <c r="DC40" s="294">
        <v>0</v>
      </c>
      <c r="DD40" s="294">
        <v>10245.299999999999</v>
      </c>
      <c r="DE40" s="294">
        <v>0</v>
      </c>
      <c r="DF40" s="294">
        <v>0</v>
      </c>
      <c r="DG40" s="294">
        <v>0</v>
      </c>
      <c r="DH40" s="294">
        <v>0</v>
      </c>
      <c r="DI40" s="294">
        <v>0</v>
      </c>
      <c r="DJ40" s="294">
        <v>0</v>
      </c>
      <c r="DK40" s="294">
        <v>10245.299999999999</v>
      </c>
      <c r="DL40" s="294">
        <v>0</v>
      </c>
      <c r="DM40" s="294">
        <v>0</v>
      </c>
      <c r="DN40" s="294">
        <v>0</v>
      </c>
      <c r="DO40" s="294">
        <v>0</v>
      </c>
      <c r="DP40" s="294">
        <v>0</v>
      </c>
      <c r="DQ40" s="324"/>
      <c r="DR40" s="295">
        <v>1141226.179999999</v>
      </c>
      <c r="DS40" s="325">
        <v>198856.25</v>
      </c>
      <c r="DT40" s="295">
        <v>6599.93</v>
      </c>
      <c r="DU40" s="295">
        <v>25801.17</v>
      </c>
      <c r="DV40" s="295">
        <v>59603.35</v>
      </c>
      <c r="DW40" s="295">
        <v>0</v>
      </c>
    </row>
    <row r="41" spans="1:131">
      <c r="A41" s="321">
        <v>2312</v>
      </c>
      <c r="B41" s="322" t="s">
        <v>342</v>
      </c>
      <c r="C41" s="321">
        <v>2312</v>
      </c>
      <c r="D41" s="323" t="s">
        <v>817</v>
      </c>
      <c r="E41" s="323" t="s">
        <v>539</v>
      </c>
      <c r="F41" s="323" t="s">
        <v>818</v>
      </c>
      <c r="G41" s="323" t="s">
        <v>537</v>
      </c>
      <c r="H41" s="294">
        <v>2143387.48</v>
      </c>
      <c r="I41" s="294">
        <v>0</v>
      </c>
      <c r="J41" s="294">
        <v>370792.68</v>
      </c>
      <c r="K41" s="294">
        <v>0</v>
      </c>
      <c r="L41" s="294">
        <v>121860</v>
      </c>
      <c r="M41" s="294">
        <v>0</v>
      </c>
      <c r="N41" s="294">
        <v>0</v>
      </c>
      <c r="O41" s="294">
        <v>152751.35</v>
      </c>
      <c r="P41" s="294">
        <v>113483.74</v>
      </c>
      <c r="Q41" s="294">
        <v>42385.9</v>
      </c>
      <c r="R41" s="294">
        <v>0</v>
      </c>
      <c r="S41" s="294">
        <v>0</v>
      </c>
      <c r="T41" s="294">
        <v>62783.51</v>
      </c>
      <c r="U41" s="294">
        <v>0</v>
      </c>
      <c r="V41" s="294">
        <v>0</v>
      </c>
      <c r="W41" s="294">
        <v>3766.75</v>
      </c>
      <c r="X41" s="294">
        <v>88793</v>
      </c>
      <c r="Y41" s="294">
        <v>3100004.41</v>
      </c>
      <c r="Z41" s="294">
        <v>1301993.3800000001</v>
      </c>
      <c r="AA41" s="294">
        <v>0</v>
      </c>
      <c r="AB41" s="294">
        <v>566661.35</v>
      </c>
      <c r="AC41" s="294">
        <v>103924.76000000001</v>
      </c>
      <c r="AD41" s="294">
        <v>97164.84</v>
      </c>
      <c r="AE41" s="294">
        <v>100745.04000000001</v>
      </c>
      <c r="AF41" s="294">
        <v>114567.28</v>
      </c>
      <c r="AG41" s="294">
        <v>10343</v>
      </c>
      <c r="AH41" s="294">
        <v>126075.21</v>
      </c>
      <c r="AI41" s="294">
        <v>0</v>
      </c>
      <c r="AJ41" s="294">
        <v>0</v>
      </c>
      <c r="AK41" s="294">
        <v>34312.57</v>
      </c>
      <c r="AL41" s="294">
        <v>481.31</v>
      </c>
      <c r="AM41" s="294">
        <v>30576.010000000002</v>
      </c>
      <c r="AN41" s="294">
        <v>4620.1400000000003</v>
      </c>
      <c r="AO41" s="294">
        <v>41203.89</v>
      </c>
      <c r="AP41" s="294">
        <v>30209.82</v>
      </c>
      <c r="AQ41" s="294">
        <v>27471.32</v>
      </c>
      <c r="AR41" s="294">
        <v>91646.85</v>
      </c>
      <c r="AS41" s="294">
        <v>12971.69</v>
      </c>
      <c r="AT41" s="294">
        <v>0</v>
      </c>
      <c r="AU41" s="294">
        <v>48072.200000000004</v>
      </c>
      <c r="AV41" s="294">
        <v>11544.119999999999</v>
      </c>
      <c r="AW41" s="294">
        <v>3795</v>
      </c>
      <c r="AX41" s="294">
        <v>71845.150000000009</v>
      </c>
      <c r="AY41" s="294">
        <v>343709.51</v>
      </c>
      <c r="AZ41" s="294">
        <v>17790.3</v>
      </c>
      <c r="BA41" s="294">
        <v>76282.679999999993</v>
      </c>
      <c r="BB41" s="294">
        <v>0</v>
      </c>
      <c r="BC41" s="294">
        <v>0</v>
      </c>
      <c r="BD41" s="294">
        <v>0</v>
      </c>
      <c r="BE41" s="294">
        <v>3268007.4199999995</v>
      </c>
      <c r="BF41" s="294">
        <v>-170158.95000000088</v>
      </c>
      <c r="BG41" s="294">
        <v>-168003.00999999931</v>
      </c>
      <c r="BH41" s="294">
        <v>-338161.9600000002</v>
      </c>
      <c r="BI41" s="294">
        <v>8702.5</v>
      </c>
      <c r="BJ41" s="294">
        <v>0</v>
      </c>
      <c r="BK41" s="294">
        <v>0</v>
      </c>
      <c r="BL41" s="294">
        <v>8702.5</v>
      </c>
      <c r="BM41" s="294">
        <v>0</v>
      </c>
      <c r="BN41" s="294">
        <v>28720.69</v>
      </c>
      <c r="BO41" s="294">
        <v>0</v>
      </c>
      <c r="BP41" s="294">
        <v>0</v>
      </c>
      <c r="BQ41" s="294">
        <v>28720.69</v>
      </c>
      <c r="BR41" s="294">
        <v>40461.800000000003</v>
      </c>
      <c r="BS41" s="294">
        <v>-20018.189999999999</v>
      </c>
      <c r="BT41" s="294">
        <v>20443.610000000004</v>
      </c>
      <c r="BU41" s="294">
        <v>0</v>
      </c>
      <c r="BV41" s="294">
        <v>0</v>
      </c>
      <c r="BW41" s="294">
        <v>0</v>
      </c>
      <c r="BX41" s="294">
        <v>0</v>
      </c>
      <c r="BY41" s="294">
        <v>0</v>
      </c>
      <c r="BZ41" s="294">
        <v>0</v>
      </c>
      <c r="CA41" s="294">
        <v>0</v>
      </c>
      <c r="CB41" s="294">
        <v>0</v>
      </c>
      <c r="CC41" s="294">
        <v>0</v>
      </c>
      <c r="CD41" s="294">
        <v>-338161.9600000002</v>
      </c>
      <c r="CE41" s="294">
        <v>0</v>
      </c>
      <c r="CF41" s="294">
        <v>20443.61</v>
      </c>
      <c r="CG41" s="294">
        <v>0</v>
      </c>
      <c r="CH41" s="294">
        <v>0</v>
      </c>
      <c r="CI41" s="294">
        <f t="shared" si="0"/>
        <v>-317718.35000000021</v>
      </c>
      <c r="CJ41" s="294">
        <v>157547.75</v>
      </c>
      <c r="CK41" s="294">
        <v>6475.41</v>
      </c>
      <c r="CL41" s="294">
        <v>-462.5</v>
      </c>
      <c r="CM41" s="294">
        <v>150609.84</v>
      </c>
      <c r="CN41" s="294">
        <v>0</v>
      </c>
      <c r="CO41" s="294">
        <v>0</v>
      </c>
      <c r="CP41" s="294">
        <v>4784.3100000000004</v>
      </c>
      <c r="CQ41" s="294">
        <v>9762.4500000000007</v>
      </c>
      <c r="CR41" s="294">
        <v>-76</v>
      </c>
      <c r="CS41" s="294">
        <v>165080.6</v>
      </c>
      <c r="CT41" s="294">
        <v>0</v>
      </c>
      <c r="CU41" s="294">
        <v>0</v>
      </c>
      <c r="CV41" s="294">
        <v>0</v>
      </c>
      <c r="CW41" s="294">
        <v>0</v>
      </c>
      <c r="CX41" s="294"/>
      <c r="CY41" s="294"/>
      <c r="CZ41" s="294"/>
      <c r="DA41" s="294">
        <v>0</v>
      </c>
      <c r="DB41" s="294">
        <v>0</v>
      </c>
      <c r="DC41" s="294">
        <v>15367.28</v>
      </c>
      <c r="DD41" s="294">
        <v>37504.629999999997</v>
      </c>
      <c r="DE41" s="294">
        <v>0</v>
      </c>
      <c r="DF41" s="294">
        <v>0</v>
      </c>
      <c r="DG41" s="294">
        <v>-39159.339999999997</v>
      </c>
      <c r="DH41" s="294">
        <v>0</v>
      </c>
      <c r="DI41" s="294">
        <v>0</v>
      </c>
      <c r="DJ41" s="294">
        <v>0</v>
      </c>
      <c r="DK41" s="294">
        <v>13712.57</v>
      </c>
      <c r="DL41" s="294">
        <v>2671.94</v>
      </c>
      <c r="DM41" s="294">
        <v>47439.45</v>
      </c>
      <c r="DN41" s="294">
        <v>29747</v>
      </c>
      <c r="DO41" s="294">
        <v>-576369.77</v>
      </c>
      <c r="DP41" s="294">
        <v>0</v>
      </c>
      <c r="DQ41" s="324">
        <v>-0.14000000001396984</v>
      </c>
      <c r="DR41" s="295">
        <v>-0.14000000001396984</v>
      </c>
      <c r="DS41" s="325"/>
      <c r="DT41" s="295"/>
      <c r="DU41" s="295"/>
      <c r="DV41" s="295"/>
      <c r="DW41" s="295">
        <v>-496511.38</v>
      </c>
    </row>
    <row r="42" spans="1:131">
      <c r="A42" s="321">
        <v>7051</v>
      </c>
      <c r="B42" s="322" t="s">
        <v>343</v>
      </c>
      <c r="C42" s="321">
        <v>7051</v>
      </c>
      <c r="D42" s="323" t="s">
        <v>817</v>
      </c>
      <c r="E42" s="323" t="s">
        <v>541</v>
      </c>
      <c r="F42" s="323" t="s">
        <v>818</v>
      </c>
      <c r="G42" s="323" t="s">
        <v>537</v>
      </c>
      <c r="H42" s="294">
        <v>1193343</v>
      </c>
      <c r="I42" s="294">
        <v>0</v>
      </c>
      <c r="J42" s="294">
        <v>1890644</v>
      </c>
      <c r="K42" s="294">
        <v>0</v>
      </c>
      <c r="L42" s="294">
        <v>111160</v>
      </c>
      <c r="M42" s="294">
        <v>5657</v>
      </c>
      <c r="N42" s="294">
        <v>6270</v>
      </c>
      <c r="O42" s="294">
        <v>0</v>
      </c>
      <c r="P42" s="294">
        <v>1302</v>
      </c>
      <c r="Q42" s="294">
        <v>4954</v>
      </c>
      <c r="R42" s="294">
        <v>0</v>
      </c>
      <c r="S42" s="294">
        <v>14793</v>
      </c>
      <c r="T42" s="294">
        <v>49</v>
      </c>
      <c r="U42" s="294">
        <v>0</v>
      </c>
      <c r="V42" s="294">
        <v>0</v>
      </c>
      <c r="W42" s="294">
        <v>1540</v>
      </c>
      <c r="X42" s="294">
        <v>24650</v>
      </c>
      <c r="Y42" s="294">
        <v>3254362</v>
      </c>
      <c r="Z42" s="294">
        <v>752529.13</v>
      </c>
      <c r="AA42" s="294">
        <v>0</v>
      </c>
      <c r="AB42" s="294">
        <v>881693</v>
      </c>
      <c r="AC42" s="294">
        <v>131400</v>
      </c>
      <c r="AD42" s="294">
        <v>147916</v>
      </c>
      <c r="AE42" s="294">
        <v>0</v>
      </c>
      <c r="AF42" s="294">
        <v>27581</v>
      </c>
      <c r="AG42" s="294">
        <v>3998</v>
      </c>
      <c r="AH42" s="294">
        <v>8851</v>
      </c>
      <c r="AI42" s="294">
        <v>0</v>
      </c>
      <c r="AJ42" s="294">
        <v>0</v>
      </c>
      <c r="AK42" s="294">
        <v>16681</v>
      </c>
      <c r="AL42" s="294">
        <v>3134</v>
      </c>
      <c r="AM42" s="294">
        <v>4532</v>
      </c>
      <c r="AN42" s="294">
        <v>2197</v>
      </c>
      <c r="AO42" s="294">
        <v>35272</v>
      </c>
      <c r="AP42" s="294">
        <v>0</v>
      </c>
      <c r="AQ42" s="294">
        <v>14433</v>
      </c>
      <c r="AR42" s="294">
        <v>34034</v>
      </c>
      <c r="AS42" s="294">
        <v>26279</v>
      </c>
      <c r="AT42" s="294">
        <v>0</v>
      </c>
      <c r="AU42" s="294">
        <v>14960</v>
      </c>
      <c r="AV42" s="294">
        <v>6911</v>
      </c>
      <c r="AW42" s="294">
        <v>0</v>
      </c>
      <c r="AX42" s="294">
        <v>82905.59</v>
      </c>
      <c r="AY42" s="294">
        <v>106390</v>
      </c>
      <c r="AZ42" s="294">
        <v>390365</v>
      </c>
      <c r="BA42" s="294">
        <v>101364</v>
      </c>
      <c r="BB42" s="294">
        <v>0</v>
      </c>
      <c r="BC42" s="294">
        <v>0</v>
      </c>
      <c r="BD42" s="294">
        <v>8873</v>
      </c>
      <c r="BE42" s="294">
        <v>2802298.7199999997</v>
      </c>
      <c r="BF42" s="294">
        <v>651577</v>
      </c>
      <c r="BG42" s="294">
        <v>452063.28000000026</v>
      </c>
      <c r="BH42" s="294">
        <v>1103640.2800000003</v>
      </c>
      <c r="BI42" s="294">
        <v>43129</v>
      </c>
      <c r="BJ42" s="294">
        <v>0</v>
      </c>
      <c r="BK42" s="294">
        <v>8873</v>
      </c>
      <c r="BL42" s="294">
        <v>52002</v>
      </c>
      <c r="BM42" s="294">
        <v>0</v>
      </c>
      <c r="BN42" s="294">
        <v>35698</v>
      </c>
      <c r="BO42" s="294">
        <v>10619</v>
      </c>
      <c r="BP42" s="294">
        <v>13235</v>
      </c>
      <c r="BQ42" s="294">
        <v>59553</v>
      </c>
      <c r="BR42" s="294">
        <v>9670</v>
      </c>
      <c r="BS42" s="294">
        <v>-7551</v>
      </c>
      <c r="BT42" s="294">
        <v>2119</v>
      </c>
      <c r="BU42" s="294">
        <v>0</v>
      </c>
      <c r="BV42" s="294">
        <v>0</v>
      </c>
      <c r="BW42" s="294">
        <v>0</v>
      </c>
      <c r="BX42" s="294">
        <v>0</v>
      </c>
      <c r="BY42" s="294">
        <v>0</v>
      </c>
      <c r="BZ42" s="294">
        <v>0</v>
      </c>
      <c r="CA42" s="294">
        <v>0</v>
      </c>
      <c r="CB42" s="294">
        <v>0</v>
      </c>
      <c r="CC42" s="294">
        <v>0</v>
      </c>
      <c r="CD42" s="294">
        <v>1103640.2800000003</v>
      </c>
      <c r="CE42" s="294">
        <v>0</v>
      </c>
      <c r="CF42" s="294">
        <v>2119</v>
      </c>
      <c r="CG42" s="294">
        <v>0</v>
      </c>
      <c r="CH42" s="294">
        <v>0</v>
      </c>
      <c r="CI42" s="294">
        <f t="shared" si="0"/>
        <v>1105759.2800000003</v>
      </c>
      <c r="CJ42" s="294">
        <v>25000</v>
      </c>
      <c r="CK42" s="294">
        <v>166443</v>
      </c>
      <c r="CL42" s="294">
        <v>10197</v>
      </c>
      <c r="CM42" s="294">
        <v>-131246</v>
      </c>
      <c r="CN42" s="294">
        <v>0</v>
      </c>
      <c r="CO42" s="294">
        <v>0</v>
      </c>
      <c r="CP42" s="294">
        <v>11881</v>
      </c>
      <c r="CQ42" s="294">
        <v>8823</v>
      </c>
      <c r="CR42" s="294">
        <v>0</v>
      </c>
      <c r="CS42" s="294">
        <v>-110542</v>
      </c>
      <c r="CT42" s="294">
        <v>1306368</v>
      </c>
      <c r="CU42" s="294">
        <v>0</v>
      </c>
      <c r="CV42" s="294">
        <v>0</v>
      </c>
      <c r="CW42" s="294">
        <v>1306368</v>
      </c>
      <c r="CX42" s="294"/>
      <c r="CY42" s="294"/>
      <c r="CZ42" s="294"/>
      <c r="DA42" s="294">
        <v>0</v>
      </c>
      <c r="DB42" s="294">
        <v>1306368</v>
      </c>
      <c r="DC42" s="294">
        <v>3828</v>
      </c>
      <c r="DD42" s="294">
        <v>14793</v>
      </c>
      <c r="DE42" s="294">
        <v>16331</v>
      </c>
      <c r="DF42" s="294">
        <v>0</v>
      </c>
      <c r="DG42" s="294">
        <v>-55712</v>
      </c>
      <c r="DH42" s="294">
        <v>-62628.72</v>
      </c>
      <c r="DI42" s="294">
        <v>0</v>
      </c>
      <c r="DJ42" s="294">
        <v>-1765</v>
      </c>
      <c r="DK42" s="294">
        <v>-85153.72</v>
      </c>
      <c r="DL42" s="294">
        <v>0</v>
      </c>
      <c r="DM42" s="294">
        <v>0</v>
      </c>
      <c r="DN42" s="294">
        <v>0</v>
      </c>
      <c r="DO42" s="294">
        <v>0</v>
      </c>
      <c r="DP42" s="294">
        <v>-4912</v>
      </c>
      <c r="DQ42" s="324">
        <v>0.47</v>
      </c>
      <c r="DR42" s="295">
        <v>1945117.13</v>
      </c>
      <c r="DS42" s="325">
        <v>857181.58999999985</v>
      </c>
      <c r="DT42" s="295">
        <v>106390</v>
      </c>
      <c r="DU42" s="295">
        <v>6305</v>
      </c>
      <c r="DV42" s="295">
        <v>14793</v>
      </c>
      <c r="DW42" s="295">
        <v>-4912</v>
      </c>
    </row>
    <row r="43" spans="1:131">
      <c r="A43" s="321">
        <v>2040</v>
      </c>
      <c r="B43" s="322" t="s">
        <v>486</v>
      </c>
      <c r="C43" s="321">
        <v>2040</v>
      </c>
      <c r="D43" s="323" t="s">
        <v>817</v>
      </c>
      <c r="E43" s="323" t="s">
        <v>539</v>
      </c>
      <c r="F43" s="323" t="s">
        <v>818</v>
      </c>
      <c r="G43" s="323" t="s">
        <v>537</v>
      </c>
      <c r="H43" s="294">
        <v>2459778.2000000002</v>
      </c>
      <c r="I43" s="294">
        <v>0</v>
      </c>
      <c r="J43" s="294">
        <v>350575.94999999995</v>
      </c>
      <c r="K43" s="294">
        <v>0</v>
      </c>
      <c r="L43" s="294">
        <v>161230</v>
      </c>
      <c r="M43" s="294">
        <v>232848.19</v>
      </c>
      <c r="N43" s="294">
        <v>1244.97</v>
      </c>
      <c r="O43" s="294">
        <v>7378.91</v>
      </c>
      <c r="P43" s="294">
        <v>36379.779999999977</v>
      </c>
      <c r="Q43" s="294">
        <v>42300.13</v>
      </c>
      <c r="R43" s="294">
        <v>4533</v>
      </c>
      <c r="S43" s="294">
        <v>0</v>
      </c>
      <c r="T43" s="294">
        <v>17724.010000000002</v>
      </c>
      <c r="U43" s="294">
        <v>0</v>
      </c>
      <c r="V43" s="294">
        <v>0</v>
      </c>
      <c r="W43" s="294">
        <v>5820.36</v>
      </c>
      <c r="X43" s="294">
        <v>80514</v>
      </c>
      <c r="Y43" s="294">
        <v>3400327.5</v>
      </c>
      <c r="Z43" s="294">
        <v>1306591.58</v>
      </c>
      <c r="AA43" s="294">
        <v>0</v>
      </c>
      <c r="AB43" s="294">
        <v>527466.98</v>
      </c>
      <c r="AC43" s="294">
        <v>86892.890000000014</v>
      </c>
      <c r="AD43" s="294">
        <v>183053.77</v>
      </c>
      <c r="AE43" s="294">
        <v>0</v>
      </c>
      <c r="AF43" s="294">
        <v>231030.53000000003</v>
      </c>
      <c r="AG43" s="294">
        <v>8054.2200000000012</v>
      </c>
      <c r="AH43" s="294">
        <v>6168.1</v>
      </c>
      <c r="AI43" s="294">
        <v>0</v>
      </c>
      <c r="AJ43" s="294">
        <v>17936.02</v>
      </c>
      <c r="AK43" s="294">
        <v>127252.46</v>
      </c>
      <c r="AL43" s="294">
        <v>6079.77</v>
      </c>
      <c r="AM43" s="294">
        <v>6673.71</v>
      </c>
      <c r="AN43" s="294">
        <v>5060.8900000000003</v>
      </c>
      <c r="AO43" s="294">
        <v>39979.410000000003</v>
      </c>
      <c r="AP43" s="294">
        <v>30474.82</v>
      </c>
      <c r="AQ43" s="294">
        <v>21736.799999999999</v>
      </c>
      <c r="AR43" s="294">
        <v>109442.63</v>
      </c>
      <c r="AS43" s="294">
        <v>16168.02</v>
      </c>
      <c r="AT43" s="294">
        <v>60.1</v>
      </c>
      <c r="AU43" s="294">
        <v>47667.5</v>
      </c>
      <c r="AV43" s="294">
        <v>9471</v>
      </c>
      <c r="AW43" s="294">
        <v>9685.2000000000007</v>
      </c>
      <c r="AX43" s="294">
        <v>137344.86000000002</v>
      </c>
      <c r="AY43" s="294">
        <v>289252.95</v>
      </c>
      <c r="AZ43" s="294">
        <v>10706.17</v>
      </c>
      <c r="BA43" s="294">
        <v>69291.13</v>
      </c>
      <c r="BB43" s="294">
        <v>0</v>
      </c>
      <c r="BC43" s="294">
        <v>0</v>
      </c>
      <c r="BD43" s="294">
        <v>13009.1</v>
      </c>
      <c r="BE43" s="294">
        <v>3316550.6100000003</v>
      </c>
      <c r="BF43" s="294">
        <v>212740.62000000014</v>
      </c>
      <c r="BG43" s="294">
        <v>83776.889999999665</v>
      </c>
      <c r="BH43" s="294">
        <v>296517.50999999978</v>
      </c>
      <c r="BI43" s="294">
        <v>30718.75</v>
      </c>
      <c r="BJ43" s="294">
        <v>0</v>
      </c>
      <c r="BK43" s="294">
        <v>13009.1</v>
      </c>
      <c r="BL43" s="294">
        <v>43727.85</v>
      </c>
      <c r="BM43" s="294">
        <v>0</v>
      </c>
      <c r="BN43" s="294">
        <v>56336</v>
      </c>
      <c r="BO43" s="294">
        <v>0</v>
      </c>
      <c r="BP43" s="294">
        <v>0</v>
      </c>
      <c r="BQ43" s="294">
        <v>56336</v>
      </c>
      <c r="BR43" s="294">
        <v>12608.149999999998</v>
      </c>
      <c r="BS43" s="294">
        <v>-12608.150000000001</v>
      </c>
      <c r="BT43" s="294">
        <v>0</v>
      </c>
      <c r="BU43" s="294">
        <v>0</v>
      </c>
      <c r="BV43" s="294">
        <v>0</v>
      </c>
      <c r="BW43" s="294">
        <v>0</v>
      </c>
      <c r="BX43" s="294">
        <v>0</v>
      </c>
      <c r="BY43" s="294">
        <v>0</v>
      </c>
      <c r="BZ43" s="294">
        <v>0</v>
      </c>
      <c r="CA43" s="294">
        <v>0</v>
      </c>
      <c r="CB43" s="294">
        <v>0</v>
      </c>
      <c r="CC43" s="294">
        <v>0</v>
      </c>
      <c r="CD43" s="294">
        <v>296517.50999999978</v>
      </c>
      <c r="CE43" s="294">
        <v>0</v>
      </c>
      <c r="CF43" s="294">
        <v>0</v>
      </c>
      <c r="CG43" s="294">
        <v>0</v>
      </c>
      <c r="CH43" s="294">
        <v>0</v>
      </c>
      <c r="CI43" s="294">
        <f t="shared" si="0"/>
        <v>296517.50999999978</v>
      </c>
      <c r="CJ43" s="294">
        <v>627369.49</v>
      </c>
      <c r="CK43" s="294">
        <v>0</v>
      </c>
      <c r="CL43" s="294">
        <v>0</v>
      </c>
      <c r="CM43" s="294">
        <v>627369.49</v>
      </c>
      <c r="CN43" s="294">
        <v>0</v>
      </c>
      <c r="CO43" s="294">
        <v>0</v>
      </c>
      <c r="CP43" s="294">
        <v>3729.76</v>
      </c>
      <c r="CQ43" s="294">
        <v>0</v>
      </c>
      <c r="CR43" s="294">
        <v>-282300.36739316303</v>
      </c>
      <c r="CS43" s="294">
        <v>348798.88260683697</v>
      </c>
      <c r="CT43" s="294">
        <v>0</v>
      </c>
      <c r="CU43" s="294">
        <v>0</v>
      </c>
      <c r="CV43" s="294">
        <v>0</v>
      </c>
      <c r="CW43" s="294">
        <v>0</v>
      </c>
      <c r="CX43" s="294"/>
      <c r="CY43" s="294"/>
      <c r="CZ43" s="294"/>
      <c r="DA43" s="294">
        <v>0</v>
      </c>
      <c r="DB43" s="294">
        <v>0</v>
      </c>
      <c r="DC43" s="294">
        <v>0</v>
      </c>
      <c r="DD43" s="294">
        <v>5025.51</v>
      </c>
      <c r="DE43" s="294">
        <v>0</v>
      </c>
      <c r="DF43" s="294">
        <v>0</v>
      </c>
      <c r="DG43" s="294">
        <v>-19139.189999999999</v>
      </c>
      <c r="DH43" s="294">
        <v>-38167.31</v>
      </c>
      <c r="DI43" s="294">
        <v>0</v>
      </c>
      <c r="DJ43" s="294">
        <v>0</v>
      </c>
      <c r="DK43" s="294">
        <v>-52280.99</v>
      </c>
      <c r="DL43" s="294">
        <v>0</v>
      </c>
      <c r="DM43" s="294">
        <v>0</v>
      </c>
      <c r="DN43" s="294">
        <v>0</v>
      </c>
      <c r="DO43" s="294">
        <v>0</v>
      </c>
      <c r="DP43" s="294">
        <v>0</v>
      </c>
      <c r="DQ43" s="324"/>
      <c r="DR43" s="295">
        <v>2343089.9700000002</v>
      </c>
      <c r="DS43" s="325">
        <v>973460.64000000013</v>
      </c>
      <c r="DT43" s="295">
        <v>289252.95</v>
      </c>
      <c r="DU43" s="295">
        <v>103782.82999999999</v>
      </c>
      <c r="DV43" s="295">
        <v>4533</v>
      </c>
      <c r="DW43" s="295">
        <v>0</v>
      </c>
    </row>
    <row r="44" spans="1:131">
      <c r="A44" s="321">
        <v>2251</v>
      </c>
      <c r="B44" s="322" t="s">
        <v>344</v>
      </c>
      <c r="C44" s="321">
        <v>2251</v>
      </c>
      <c r="D44" s="323" t="s">
        <v>817</v>
      </c>
      <c r="E44" s="323" t="s">
        <v>539</v>
      </c>
      <c r="F44" s="323" t="s">
        <v>818</v>
      </c>
      <c r="G44" s="323" t="s">
        <v>537</v>
      </c>
      <c r="H44" s="294">
        <v>2212218.86</v>
      </c>
      <c r="I44" s="294">
        <v>0</v>
      </c>
      <c r="J44" s="294">
        <v>82893.22</v>
      </c>
      <c r="K44" s="294">
        <v>0</v>
      </c>
      <c r="L44" s="294">
        <v>112790</v>
      </c>
      <c r="M44" s="294">
        <v>13942.86</v>
      </c>
      <c r="N44" s="294">
        <v>0</v>
      </c>
      <c r="O44" s="294">
        <v>10247.25</v>
      </c>
      <c r="P44" s="294">
        <v>14431.36</v>
      </c>
      <c r="Q44" s="294">
        <v>48182.94</v>
      </c>
      <c r="R44" s="294">
        <v>0</v>
      </c>
      <c r="S44" s="294">
        <v>0</v>
      </c>
      <c r="T44" s="294">
        <v>146904.51999999999</v>
      </c>
      <c r="U44" s="294">
        <v>-3500</v>
      </c>
      <c r="V44" s="294">
        <v>0</v>
      </c>
      <c r="W44" s="294">
        <v>1487.75</v>
      </c>
      <c r="X44" s="294">
        <v>91295</v>
      </c>
      <c r="Y44" s="294">
        <v>2730893.76</v>
      </c>
      <c r="Z44" s="294">
        <v>1224492.42</v>
      </c>
      <c r="AA44" s="294">
        <v>0</v>
      </c>
      <c r="AB44" s="294">
        <v>411468.89</v>
      </c>
      <c r="AC44" s="294">
        <v>0</v>
      </c>
      <c r="AD44" s="294">
        <v>140750.25</v>
      </c>
      <c r="AE44" s="294">
        <v>92609.34</v>
      </c>
      <c r="AF44" s="294">
        <v>43274.32</v>
      </c>
      <c r="AG44" s="294">
        <v>518.5</v>
      </c>
      <c r="AH44" s="294">
        <v>6428.12</v>
      </c>
      <c r="AI44" s="294">
        <v>0</v>
      </c>
      <c r="AJ44" s="294">
        <v>0</v>
      </c>
      <c r="AK44" s="294">
        <v>0</v>
      </c>
      <c r="AL44" s="294">
        <v>0</v>
      </c>
      <c r="AM44" s="294">
        <v>0</v>
      </c>
      <c r="AN44" s="294">
        <v>9207.34</v>
      </c>
      <c r="AO44" s="294">
        <v>46804.61</v>
      </c>
      <c r="AP44" s="294">
        <v>17820.63</v>
      </c>
      <c r="AQ44" s="294">
        <v>5488.14</v>
      </c>
      <c r="AR44" s="294">
        <v>101067.17</v>
      </c>
      <c r="AS44" s="294">
        <v>1367.8</v>
      </c>
      <c r="AT44" s="294">
        <v>0</v>
      </c>
      <c r="AU44" s="294">
        <v>18983.05</v>
      </c>
      <c r="AV44" s="294">
        <v>9471</v>
      </c>
      <c r="AW44" s="294">
        <v>0</v>
      </c>
      <c r="AX44" s="294">
        <v>64478.22</v>
      </c>
      <c r="AY44" s="294">
        <v>81344.2</v>
      </c>
      <c r="AZ44" s="294">
        <v>112785.99</v>
      </c>
      <c r="BA44" s="294">
        <v>90347.56</v>
      </c>
      <c r="BB44" s="294">
        <v>165408.32999999999</v>
      </c>
      <c r="BC44" s="294">
        <v>0</v>
      </c>
      <c r="BD44" s="294">
        <v>0</v>
      </c>
      <c r="BE44" s="294">
        <v>2644115.8800000008</v>
      </c>
      <c r="BF44" s="294">
        <v>251810.13999999888</v>
      </c>
      <c r="BG44" s="294">
        <v>86777.879999998957</v>
      </c>
      <c r="BH44" s="294">
        <v>338588.01999999781</v>
      </c>
      <c r="BI44" s="294">
        <v>9042.25</v>
      </c>
      <c r="BJ44" s="294">
        <v>0</v>
      </c>
      <c r="BK44" s="294">
        <v>0</v>
      </c>
      <c r="BL44" s="294">
        <v>9042.25</v>
      </c>
      <c r="BM44" s="294">
        <v>0</v>
      </c>
      <c r="BN44" s="294">
        <v>15719.26</v>
      </c>
      <c r="BO44" s="294">
        <v>0</v>
      </c>
      <c r="BP44" s="294">
        <v>4232</v>
      </c>
      <c r="BQ44" s="294">
        <v>19951.260000000002</v>
      </c>
      <c r="BR44" s="294">
        <v>27939.809999999998</v>
      </c>
      <c r="BS44" s="294">
        <v>-10909.010000000002</v>
      </c>
      <c r="BT44" s="294">
        <v>17030.799999999996</v>
      </c>
      <c r="BU44" s="294">
        <v>0</v>
      </c>
      <c r="BV44" s="294">
        <v>0</v>
      </c>
      <c r="BW44" s="294">
        <v>0</v>
      </c>
      <c r="BX44" s="294">
        <v>0</v>
      </c>
      <c r="BY44" s="294">
        <v>0</v>
      </c>
      <c r="BZ44" s="294">
        <v>0</v>
      </c>
      <c r="CA44" s="294">
        <v>0</v>
      </c>
      <c r="CB44" s="294">
        <v>0</v>
      </c>
      <c r="CC44" s="294">
        <v>0</v>
      </c>
      <c r="CD44" s="294">
        <v>338588.01999999781</v>
      </c>
      <c r="CE44" s="294">
        <v>0</v>
      </c>
      <c r="CF44" s="294">
        <v>17030.799999999996</v>
      </c>
      <c r="CG44" s="294">
        <v>0</v>
      </c>
      <c r="CH44" s="294">
        <v>0</v>
      </c>
      <c r="CI44" s="294">
        <f t="shared" si="0"/>
        <v>355618.8199999978</v>
      </c>
      <c r="CJ44" s="294">
        <v>459159.28</v>
      </c>
      <c r="CK44" s="294">
        <v>47898.43</v>
      </c>
      <c r="CL44" s="294">
        <v>0</v>
      </c>
      <c r="CM44" s="294">
        <v>411260.85000000003</v>
      </c>
      <c r="CN44" s="294">
        <v>0</v>
      </c>
      <c r="CO44" s="294">
        <v>0</v>
      </c>
      <c r="CP44" s="294">
        <v>8142.2600000000011</v>
      </c>
      <c r="CQ44" s="294">
        <v>3658.6399999999994</v>
      </c>
      <c r="CR44" s="294">
        <v>0</v>
      </c>
      <c r="CS44" s="294">
        <v>423061.75000000006</v>
      </c>
      <c r="CT44" s="294">
        <v>134852.08000000002</v>
      </c>
      <c r="CU44" s="294">
        <v>0</v>
      </c>
      <c r="CV44" s="294">
        <v>0</v>
      </c>
      <c r="CW44" s="294">
        <v>134852.08000000002</v>
      </c>
      <c r="CX44" s="294"/>
      <c r="CY44" s="294"/>
      <c r="CZ44" s="294"/>
      <c r="DA44" s="294">
        <v>0</v>
      </c>
      <c r="DB44" s="294">
        <v>134852.08000000002</v>
      </c>
      <c r="DC44" s="294">
        <v>6713.86</v>
      </c>
      <c r="DD44" s="294">
        <v>0</v>
      </c>
      <c r="DE44" s="294">
        <v>0</v>
      </c>
      <c r="DF44" s="294">
        <v>0</v>
      </c>
      <c r="DG44" s="294">
        <v>-19712.41</v>
      </c>
      <c r="DH44" s="294">
        <v>-363</v>
      </c>
      <c r="DI44" s="294">
        <v>0</v>
      </c>
      <c r="DJ44" s="294">
        <v>-25182</v>
      </c>
      <c r="DK44" s="294">
        <v>-38543.550000000003</v>
      </c>
      <c r="DL44" s="294">
        <v>0</v>
      </c>
      <c r="DM44" s="294">
        <v>0</v>
      </c>
      <c r="DN44" s="294">
        <v>0</v>
      </c>
      <c r="DO44" s="294">
        <v>-163751.26999999999</v>
      </c>
      <c r="DP44" s="294">
        <v>0</v>
      </c>
      <c r="DQ44" s="324">
        <v>-0.19000000011874363</v>
      </c>
      <c r="DR44" s="295">
        <v>1913113.7200000002</v>
      </c>
      <c r="DS44" s="325">
        <v>731002.16000000061</v>
      </c>
      <c r="DT44" s="295">
        <v>81344.2</v>
      </c>
      <c r="DU44" s="295">
        <v>219766.07</v>
      </c>
      <c r="DV44" s="295">
        <v>-3500</v>
      </c>
      <c r="DW44" s="295">
        <v>-163751.26999999999</v>
      </c>
    </row>
    <row r="45" spans="1:131">
      <c r="A45" s="321">
        <v>3002</v>
      </c>
      <c r="B45" s="322" t="s">
        <v>345</v>
      </c>
      <c r="C45" s="321">
        <v>3002</v>
      </c>
      <c r="D45" s="323" t="s">
        <v>817</v>
      </c>
      <c r="E45" s="323" t="s">
        <v>539</v>
      </c>
      <c r="F45" s="323" t="s">
        <v>818</v>
      </c>
      <c r="G45" s="323" t="s">
        <v>537</v>
      </c>
      <c r="H45" s="294">
        <v>1399321.6000000001</v>
      </c>
      <c r="I45" s="294">
        <v>0</v>
      </c>
      <c r="J45" s="294">
        <v>55268.24</v>
      </c>
      <c r="K45" s="294">
        <v>0</v>
      </c>
      <c r="L45" s="294">
        <v>149480</v>
      </c>
      <c r="M45" s="294">
        <v>400</v>
      </c>
      <c r="N45" s="294">
        <v>0</v>
      </c>
      <c r="O45" s="294">
        <v>172.53</v>
      </c>
      <c r="P45" s="294">
        <v>10493.75</v>
      </c>
      <c r="Q45" s="294">
        <v>0</v>
      </c>
      <c r="R45" s="294">
        <v>0</v>
      </c>
      <c r="S45" s="294">
        <v>0</v>
      </c>
      <c r="T45" s="294">
        <v>1687.67</v>
      </c>
      <c r="U45" s="294">
        <v>42564.98</v>
      </c>
      <c r="V45" s="294">
        <v>0</v>
      </c>
      <c r="W45" s="294">
        <v>5967.5</v>
      </c>
      <c r="X45" s="294">
        <v>37006</v>
      </c>
      <c r="Y45" s="294">
        <v>1702362.27</v>
      </c>
      <c r="Z45" s="294">
        <v>523889.99</v>
      </c>
      <c r="AA45" s="294">
        <v>0</v>
      </c>
      <c r="AB45" s="294">
        <v>220228.48000000001</v>
      </c>
      <c r="AC45" s="294">
        <v>38469.61</v>
      </c>
      <c r="AD45" s="294">
        <v>74345.47</v>
      </c>
      <c r="AE45" s="294">
        <v>0</v>
      </c>
      <c r="AF45" s="294">
        <v>39557.93</v>
      </c>
      <c r="AG45" s="294">
        <v>3965.29</v>
      </c>
      <c r="AH45" s="294">
        <v>8390.7999999999993</v>
      </c>
      <c r="AI45" s="294">
        <v>0</v>
      </c>
      <c r="AJ45" s="294">
        <v>0</v>
      </c>
      <c r="AK45" s="294">
        <v>46532.480000000003</v>
      </c>
      <c r="AL45" s="294">
        <v>610</v>
      </c>
      <c r="AM45" s="294">
        <v>23169.439999999999</v>
      </c>
      <c r="AN45" s="294">
        <v>2857.53</v>
      </c>
      <c r="AO45" s="294">
        <v>35927.040000000001</v>
      </c>
      <c r="AP45" s="294">
        <v>20015.919999999998</v>
      </c>
      <c r="AQ45" s="294">
        <v>21341.16</v>
      </c>
      <c r="AR45" s="294">
        <v>88387.260000000009</v>
      </c>
      <c r="AS45" s="294">
        <v>9956.81</v>
      </c>
      <c r="AT45" s="294">
        <v>0</v>
      </c>
      <c r="AU45" s="294">
        <v>80449.08</v>
      </c>
      <c r="AV45" s="294">
        <v>5139.75</v>
      </c>
      <c r="AW45" s="294">
        <v>2085</v>
      </c>
      <c r="AX45" s="294">
        <v>95275.72</v>
      </c>
      <c r="AY45" s="294">
        <v>191621.77</v>
      </c>
      <c r="AZ45" s="294">
        <v>6011.24</v>
      </c>
      <c r="BA45" s="294">
        <v>157678.31</v>
      </c>
      <c r="BB45" s="294">
        <v>0</v>
      </c>
      <c r="BC45" s="294">
        <v>0</v>
      </c>
      <c r="BD45" s="294">
        <v>0</v>
      </c>
      <c r="BE45" s="294">
        <v>1695906.0800000003</v>
      </c>
      <c r="BF45" s="294">
        <v>249869.52000000014</v>
      </c>
      <c r="BG45" s="294">
        <v>6456.1899999997113</v>
      </c>
      <c r="BH45" s="294">
        <v>256325.70999999985</v>
      </c>
      <c r="BI45" s="294">
        <v>6460.6</v>
      </c>
      <c r="BJ45" s="294">
        <v>0</v>
      </c>
      <c r="BK45" s="294">
        <v>0</v>
      </c>
      <c r="BL45" s="294">
        <v>6460.6</v>
      </c>
      <c r="BM45" s="294">
        <v>0</v>
      </c>
      <c r="BN45" s="294">
        <v>0</v>
      </c>
      <c r="BO45" s="294">
        <v>0</v>
      </c>
      <c r="BP45" s="294">
        <v>0</v>
      </c>
      <c r="BQ45" s="294">
        <v>0</v>
      </c>
      <c r="BR45" s="294">
        <v>33719.46</v>
      </c>
      <c r="BS45" s="294">
        <v>6460.6</v>
      </c>
      <c r="BT45" s="294">
        <v>40180.06</v>
      </c>
      <c r="BU45" s="294">
        <v>0</v>
      </c>
      <c r="BV45" s="294">
        <v>0</v>
      </c>
      <c r="BW45" s="294">
        <v>0</v>
      </c>
      <c r="BX45" s="294">
        <v>0</v>
      </c>
      <c r="BY45" s="294">
        <v>0</v>
      </c>
      <c r="BZ45" s="294">
        <v>0</v>
      </c>
      <c r="CA45" s="294">
        <v>0</v>
      </c>
      <c r="CB45" s="294">
        <v>0</v>
      </c>
      <c r="CC45" s="294">
        <v>0</v>
      </c>
      <c r="CD45" s="294">
        <v>256325.70999999985</v>
      </c>
      <c r="CE45" s="294">
        <v>0</v>
      </c>
      <c r="CF45" s="294">
        <v>40180.06</v>
      </c>
      <c r="CG45" s="294">
        <v>0</v>
      </c>
      <c r="CH45" s="294">
        <v>0</v>
      </c>
      <c r="CI45" s="294">
        <f t="shared" si="0"/>
        <v>296505.76999999984</v>
      </c>
      <c r="CJ45" s="294">
        <v>367567.61</v>
      </c>
      <c r="CK45" s="294">
        <v>74766.570000000007</v>
      </c>
      <c r="CL45" s="294">
        <v>0</v>
      </c>
      <c r="CM45" s="294">
        <v>292801.03999999998</v>
      </c>
      <c r="CN45" s="294">
        <v>0</v>
      </c>
      <c r="CO45" s="294">
        <v>0</v>
      </c>
      <c r="CP45" s="294">
        <v>767.51</v>
      </c>
      <c r="CQ45" s="294">
        <v>9609.1</v>
      </c>
      <c r="CR45" s="294">
        <v>27321.94</v>
      </c>
      <c r="CS45" s="294">
        <v>330499.58999999997</v>
      </c>
      <c r="CT45" s="294">
        <v>0</v>
      </c>
      <c r="CU45" s="294">
        <v>0</v>
      </c>
      <c r="CV45" s="294">
        <v>0</v>
      </c>
      <c r="CW45" s="294">
        <v>0</v>
      </c>
      <c r="CX45" s="294"/>
      <c r="CY45" s="294"/>
      <c r="CZ45" s="294"/>
      <c r="DA45" s="294">
        <v>0</v>
      </c>
      <c r="DB45" s="294">
        <v>0</v>
      </c>
      <c r="DC45" s="294">
        <v>0</v>
      </c>
      <c r="DD45" s="294">
        <v>0</v>
      </c>
      <c r="DE45" s="294">
        <v>0</v>
      </c>
      <c r="DF45" s="294">
        <v>0</v>
      </c>
      <c r="DG45" s="294">
        <v>0</v>
      </c>
      <c r="DH45" s="294">
        <v>-26333.03</v>
      </c>
      <c r="DI45" s="294">
        <v>0</v>
      </c>
      <c r="DJ45" s="294">
        <v>0</v>
      </c>
      <c r="DK45" s="294">
        <v>-26333.03</v>
      </c>
      <c r="DL45" s="294">
        <v>0</v>
      </c>
      <c r="DM45" s="294">
        <v>0</v>
      </c>
      <c r="DN45" s="294">
        <v>-1099.3800000000001</v>
      </c>
      <c r="DO45" s="294">
        <v>-6561.41</v>
      </c>
      <c r="DP45" s="294">
        <v>0</v>
      </c>
      <c r="DQ45" s="324">
        <v>0</v>
      </c>
      <c r="DR45" s="295">
        <v>900456.77</v>
      </c>
      <c r="DS45" s="325">
        <v>795449.31000000029</v>
      </c>
      <c r="DT45" s="295">
        <v>191621.77</v>
      </c>
      <c r="DU45" s="295">
        <v>12353.95</v>
      </c>
      <c r="DV45" s="295">
        <v>42564.98</v>
      </c>
      <c r="DW45" s="295">
        <v>-7660.79</v>
      </c>
    </row>
    <row r="46" spans="1:131">
      <c r="A46" s="321">
        <v>3319</v>
      </c>
      <c r="B46" s="322" t="s">
        <v>346</v>
      </c>
      <c r="C46" s="321">
        <v>3319</v>
      </c>
      <c r="D46" s="323" t="s">
        <v>817</v>
      </c>
      <c r="E46" s="323" t="s">
        <v>539</v>
      </c>
      <c r="F46" s="323" t="s">
        <v>818</v>
      </c>
      <c r="G46" s="323" t="s">
        <v>537</v>
      </c>
      <c r="H46" s="294">
        <v>2167121.87</v>
      </c>
      <c r="I46" s="294">
        <v>0</v>
      </c>
      <c r="J46" s="294">
        <v>69681.320000000007</v>
      </c>
      <c r="K46" s="294">
        <v>0</v>
      </c>
      <c r="L46" s="294">
        <v>219260</v>
      </c>
      <c r="M46" s="294">
        <v>0</v>
      </c>
      <c r="N46" s="294">
        <v>9100</v>
      </c>
      <c r="O46" s="294">
        <v>8410</v>
      </c>
      <c r="P46" s="294">
        <v>-97.22</v>
      </c>
      <c r="Q46" s="294">
        <v>29261.37</v>
      </c>
      <c r="R46" s="294">
        <v>0</v>
      </c>
      <c r="S46" s="294">
        <v>0</v>
      </c>
      <c r="T46" s="294">
        <v>20000</v>
      </c>
      <c r="U46" s="294">
        <v>64000</v>
      </c>
      <c r="V46" s="294">
        <v>0</v>
      </c>
      <c r="W46" s="294">
        <v>14861.63</v>
      </c>
      <c r="X46" s="294">
        <v>63665</v>
      </c>
      <c r="Y46" s="294">
        <v>2665263.9699999997</v>
      </c>
      <c r="Z46" s="294">
        <v>1369619.3599999999</v>
      </c>
      <c r="AA46" s="294">
        <v>57834.400000000001</v>
      </c>
      <c r="AB46" s="294">
        <v>502788.07</v>
      </c>
      <c r="AC46" s="294">
        <v>39526.03</v>
      </c>
      <c r="AD46" s="294">
        <v>99459.459999999992</v>
      </c>
      <c r="AE46" s="294">
        <v>0</v>
      </c>
      <c r="AF46" s="294">
        <v>100446.48</v>
      </c>
      <c r="AG46" s="294">
        <v>570.1</v>
      </c>
      <c r="AH46" s="294">
        <v>5603</v>
      </c>
      <c r="AI46" s="294">
        <v>0</v>
      </c>
      <c r="AJ46" s="294">
        <v>0</v>
      </c>
      <c r="AK46" s="294">
        <v>10688.11</v>
      </c>
      <c r="AL46" s="294">
        <v>7295</v>
      </c>
      <c r="AM46" s="294">
        <v>28803.39</v>
      </c>
      <c r="AN46" s="294">
        <v>4261.91</v>
      </c>
      <c r="AO46" s="294">
        <v>29552.25</v>
      </c>
      <c r="AP46" s="294">
        <v>5273.47</v>
      </c>
      <c r="AQ46" s="294">
        <v>18131.84</v>
      </c>
      <c r="AR46" s="294">
        <v>69240.239999999991</v>
      </c>
      <c r="AS46" s="294">
        <v>4640.67</v>
      </c>
      <c r="AT46" s="294">
        <v>0</v>
      </c>
      <c r="AU46" s="294">
        <v>75695.759999999995</v>
      </c>
      <c r="AV46" s="294">
        <v>15359.73</v>
      </c>
      <c r="AW46" s="294">
        <v>0</v>
      </c>
      <c r="AX46" s="294">
        <v>177176.76</v>
      </c>
      <c r="AY46" s="294">
        <v>1140</v>
      </c>
      <c r="AZ46" s="294">
        <v>8792.36</v>
      </c>
      <c r="BA46" s="294">
        <v>121425.98</v>
      </c>
      <c r="BB46" s="294">
        <v>0</v>
      </c>
      <c r="BC46" s="294">
        <v>0</v>
      </c>
      <c r="BD46" s="294">
        <v>0</v>
      </c>
      <c r="BE46" s="294">
        <v>2753324.37</v>
      </c>
      <c r="BF46" s="294">
        <v>-28196.320000000094</v>
      </c>
      <c r="BG46" s="294">
        <v>-88060.400000000373</v>
      </c>
      <c r="BH46" s="294">
        <v>-116256.72000000047</v>
      </c>
      <c r="BI46" s="294">
        <v>0</v>
      </c>
      <c r="BJ46" s="294">
        <v>0</v>
      </c>
      <c r="BK46" s="294">
        <v>0</v>
      </c>
      <c r="BL46" s="294">
        <v>0</v>
      </c>
      <c r="BM46" s="294">
        <v>0</v>
      </c>
      <c r="BN46" s="294">
        <v>0</v>
      </c>
      <c r="BO46" s="294">
        <v>0</v>
      </c>
      <c r="BP46" s="294">
        <v>0</v>
      </c>
      <c r="BQ46" s="294">
        <v>0</v>
      </c>
      <c r="BR46" s="294">
        <v>0</v>
      </c>
      <c r="BS46" s="294">
        <v>0</v>
      </c>
      <c r="BT46" s="294">
        <v>0</v>
      </c>
      <c r="BU46" s="294">
        <v>0</v>
      </c>
      <c r="BV46" s="294">
        <v>0</v>
      </c>
      <c r="BW46" s="294">
        <v>0</v>
      </c>
      <c r="BX46" s="294">
        <v>0</v>
      </c>
      <c r="BY46" s="294">
        <v>0</v>
      </c>
      <c r="BZ46" s="294">
        <v>0</v>
      </c>
      <c r="CA46" s="294">
        <v>0</v>
      </c>
      <c r="CB46" s="294">
        <v>0</v>
      </c>
      <c r="CC46" s="294">
        <v>0</v>
      </c>
      <c r="CD46" s="294">
        <v>-116256.72000000047</v>
      </c>
      <c r="CE46" s="294">
        <v>0</v>
      </c>
      <c r="CF46" s="294">
        <v>0</v>
      </c>
      <c r="CG46" s="294">
        <v>0</v>
      </c>
      <c r="CH46" s="294">
        <v>0</v>
      </c>
      <c r="CI46" s="294">
        <f t="shared" si="0"/>
        <v>-116256.72000000047</v>
      </c>
      <c r="CJ46" s="294">
        <v>75476.850000000006</v>
      </c>
      <c r="CK46" s="294">
        <v>189425.33000000002</v>
      </c>
      <c r="CL46" s="294">
        <v>686.07</v>
      </c>
      <c r="CM46" s="294">
        <v>-113262.41</v>
      </c>
      <c r="CN46" s="294">
        <v>0</v>
      </c>
      <c r="CO46" s="294">
        <v>0</v>
      </c>
      <c r="CP46" s="294">
        <v>5563.02</v>
      </c>
      <c r="CQ46" s="294">
        <v>0</v>
      </c>
      <c r="CR46" s="294">
        <v>0</v>
      </c>
      <c r="CS46" s="294">
        <v>-107699.39</v>
      </c>
      <c r="CT46" s="294">
        <v>0</v>
      </c>
      <c r="CU46" s="294">
        <v>0</v>
      </c>
      <c r="CV46" s="294">
        <v>0</v>
      </c>
      <c r="CW46" s="294">
        <v>0</v>
      </c>
      <c r="CX46" s="294"/>
      <c r="CY46" s="294"/>
      <c r="CZ46" s="294"/>
      <c r="DA46" s="294">
        <v>0</v>
      </c>
      <c r="DB46" s="294">
        <v>0</v>
      </c>
      <c r="DC46" s="294">
        <v>10710</v>
      </c>
      <c r="DD46" s="294">
        <v>11.13</v>
      </c>
      <c r="DE46" s="294">
        <v>33723.93</v>
      </c>
      <c r="DF46" s="294">
        <v>0</v>
      </c>
      <c r="DG46" s="294">
        <v>-16876.88</v>
      </c>
      <c r="DH46" s="294">
        <v>-41007.22</v>
      </c>
      <c r="DI46" s="294">
        <v>0</v>
      </c>
      <c r="DJ46" s="294">
        <v>0</v>
      </c>
      <c r="DK46" s="294">
        <v>-13439.040000000005</v>
      </c>
      <c r="DL46" s="294">
        <v>910</v>
      </c>
      <c r="DM46" s="294">
        <v>0</v>
      </c>
      <c r="DN46" s="294">
        <v>0</v>
      </c>
      <c r="DO46" s="294">
        <v>-18151.27</v>
      </c>
      <c r="DP46" s="294">
        <v>22122.53</v>
      </c>
      <c r="DQ46" s="324">
        <v>0.44999999999708962</v>
      </c>
      <c r="DR46" s="295">
        <v>2170243.9</v>
      </c>
      <c r="DS46" s="325">
        <v>583080.4700000002</v>
      </c>
      <c r="DT46" s="295">
        <v>1140</v>
      </c>
      <c r="DU46" s="295">
        <v>57574.15</v>
      </c>
      <c r="DV46" s="295">
        <v>64000</v>
      </c>
      <c r="DW46" s="295">
        <v>4881.2599999999984</v>
      </c>
    </row>
    <row r="47" spans="1:131">
      <c r="A47" s="321">
        <v>1100</v>
      </c>
      <c r="B47" s="322" t="s">
        <v>487</v>
      </c>
      <c r="C47" s="321">
        <v>1100</v>
      </c>
      <c r="D47" s="323" t="s">
        <v>817</v>
      </c>
      <c r="E47" s="323" t="s">
        <v>541</v>
      </c>
      <c r="F47" s="323" t="s">
        <v>818</v>
      </c>
      <c r="G47" s="323" t="s">
        <v>537</v>
      </c>
      <c r="H47" s="294">
        <v>7085575.8200000003</v>
      </c>
      <c r="I47" s="294">
        <v>0</v>
      </c>
      <c r="J47" s="294">
        <v>5998839.9199999999</v>
      </c>
      <c r="K47" s="294">
        <v>0</v>
      </c>
      <c r="L47" s="294">
        <v>404280</v>
      </c>
      <c r="M47" s="294">
        <v>220702.53999999998</v>
      </c>
      <c r="N47" s="294">
        <v>0</v>
      </c>
      <c r="O47" s="294">
        <v>0</v>
      </c>
      <c r="P47" s="294">
        <v>422818.63</v>
      </c>
      <c r="Q47" s="294">
        <v>128988.6</v>
      </c>
      <c r="R47" s="294">
        <v>0</v>
      </c>
      <c r="S47" s="294">
        <v>0</v>
      </c>
      <c r="T47" s="294">
        <v>0</v>
      </c>
      <c r="U47" s="294">
        <v>287982.81</v>
      </c>
      <c r="V47" s="294">
        <v>0</v>
      </c>
      <c r="W47" s="294">
        <v>99475.27</v>
      </c>
      <c r="X47" s="294">
        <v>16725</v>
      </c>
      <c r="Y47" s="294">
        <v>14665388.59</v>
      </c>
      <c r="Z47" s="294">
        <v>5541953.6900000507</v>
      </c>
      <c r="AA47" s="294">
        <v>0</v>
      </c>
      <c r="AB47" s="294">
        <v>1664546.51</v>
      </c>
      <c r="AC47" s="294">
        <v>160670.25999999838</v>
      </c>
      <c r="AD47" s="294">
        <v>719836.49</v>
      </c>
      <c r="AE47" s="294">
        <v>0</v>
      </c>
      <c r="AF47" s="294">
        <v>1.0477378964424133E-9</v>
      </c>
      <c r="AG47" s="294">
        <v>47927.770000007578</v>
      </c>
      <c r="AH47" s="294">
        <v>66199</v>
      </c>
      <c r="AI47" s="294">
        <v>0</v>
      </c>
      <c r="AJ47" s="294">
        <v>0</v>
      </c>
      <c r="AK47" s="294">
        <v>954234.88999999978</v>
      </c>
      <c r="AL47" s="294">
        <v>16228</v>
      </c>
      <c r="AM47" s="294">
        <v>28855.63</v>
      </c>
      <c r="AN47" s="294">
        <v>13702.94</v>
      </c>
      <c r="AO47" s="294">
        <v>169091.44</v>
      </c>
      <c r="AP47" s="294">
        <v>35139.64</v>
      </c>
      <c r="AQ47" s="294">
        <v>80684.319999999992</v>
      </c>
      <c r="AR47" s="294">
        <v>745194.32999999681</v>
      </c>
      <c r="AS47" s="294">
        <v>176190.32000000007</v>
      </c>
      <c r="AT47" s="294">
        <v>91986.099999999991</v>
      </c>
      <c r="AU47" s="294">
        <v>32641.569999999992</v>
      </c>
      <c r="AV47" s="294">
        <v>17116.400000000001</v>
      </c>
      <c r="AW47" s="294">
        <v>1281232.99</v>
      </c>
      <c r="AX47" s="294">
        <v>197050.93</v>
      </c>
      <c r="AY47" s="294">
        <v>2473575.6800000002</v>
      </c>
      <c r="AZ47" s="294">
        <v>72959</v>
      </c>
      <c r="BA47" s="294">
        <v>58781.39999999851</v>
      </c>
      <c r="BB47" s="294">
        <v>0</v>
      </c>
      <c r="BC47" s="294">
        <v>0</v>
      </c>
      <c r="BD47" s="294">
        <v>0</v>
      </c>
      <c r="BE47" s="294">
        <v>14645799.300000055</v>
      </c>
      <c r="BF47" s="294">
        <v>1063388.1200000013</v>
      </c>
      <c r="BG47" s="294">
        <v>19589.289999945089</v>
      </c>
      <c r="BH47" s="294">
        <v>1082977.4099999464</v>
      </c>
      <c r="BI47" s="294">
        <v>49211.25</v>
      </c>
      <c r="BJ47" s="294">
        <v>0</v>
      </c>
      <c r="BK47" s="294">
        <v>0</v>
      </c>
      <c r="BL47" s="294">
        <v>49211.25</v>
      </c>
      <c r="BM47" s="294">
        <v>0</v>
      </c>
      <c r="BN47" s="294">
        <v>0</v>
      </c>
      <c r="BO47" s="294">
        <v>0</v>
      </c>
      <c r="BP47" s="294">
        <v>0</v>
      </c>
      <c r="BQ47" s="294">
        <v>0</v>
      </c>
      <c r="BR47" s="294">
        <v>92246.49</v>
      </c>
      <c r="BS47" s="294">
        <v>49211.25</v>
      </c>
      <c r="BT47" s="294">
        <v>141457.74</v>
      </c>
      <c r="BU47" s="294">
        <v>0</v>
      </c>
      <c r="BV47" s="294">
        <v>0</v>
      </c>
      <c r="BW47" s="294">
        <v>0</v>
      </c>
      <c r="BX47" s="294">
        <v>0</v>
      </c>
      <c r="BY47" s="294">
        <v>0</v>
      </c>
      <c r="BZ47" s="294">
        <v>0</v>
      </c>
      <c r="CA47" s="294">
        <v>0</v>
      </c>
      <c r="CB47" s="294">
        <v>0</v>
      </c>
      <c r="CC47" s="294">
        <v>0</v>
      </c>
      <c r="CD47" s="294">
        <v>1082977.4099999464</v>
      </c>
      <c r="CE47" s="294">
        <v>0</v>
      </c>
      <c r="CF47" s="294">
        <v>141457.74</v>
      </c>
      <c r="CG47" s="294">
        <v>0</v>
      </c>
      <c r="CH47" s="294">
        <v>0</v>
      </c>
      <c r="CI47" s="294">
        <f t="shared" si="0"/>
        <v>1224435.1499999464</v>
      </c>
      <c r="CJ47" s="294">
        <v>1902388.71</v>
      </c>
      <c r="CK47" s="294">
        <v>0</v>
      </c>
      <c r="CL47" s="294">
        <v>0</v>
      </c>
      <c r="CM47" s="294">
        <v>1902388.71</v>
      </c>
      <c r="CN47" s="294">
        <v>0</v>
      </c>
      <c r="CO47" s="294">
        <v>0</v>
      </c>
      <c r="CP47" s="294">
        <v>118613.71</v>
      </c>
      <c r="CQ47" s="294">
        <v>0</v>
      </c>
      <c r="CR47" s="294">
        <v>-808983.66999999993</v>
      </c>
      <c r="CS47" s="294">
        <v>1212018.75</v>
      </c>
      <c r="CT47" s="294">
        <v>0</v>
      </c>
      <c r="CU47" s="294">
        <v>0</v>
      </c>
      <c r="CV47" s="294">
        <v>0</v>
      </c>
      <c r="CW47" s="294">
        <v>0</v>
      </c>
      <c r="CX47" s="294"/>
      <c r="CY47" s="294"/>
      <c r="CZ47" s="294"/>
      <c r="DA47" s="294">
        <v>0</v>
      </c>
      <c r="DB47" s="294">
        <v>0</v>
      </c>
      <c r="DC47" s="294">
        <v>0</v>
      </c>
      <c r="DD47" s="294">
        <v>25308.44</v>
      </c>
      <c r="DE47" s="294">
        <v>0</v>
      </c>
      <c r="DF47" s="294">
        <v>0</v>
      </c>
      <c r="DG47" s="294">
        <v>-12110.7</v>
      </c>
      <c r="DH47" s="294">
        <v>-780.88</v>
      </c>
      <c r="DI47" s="294">
        <v>0</v>
      </c>
      <c r="DJ47" s="294">
        <v>0</v>
      </c>
      <c r="DK47" s="294">
        <v>12416.859999999999</v>
      </c>
      <c r="DL47" s="294">
        <v>0</v>
      </c>
      <c r="DM47" s="294">
        <v>0</v>
      </c>
      <c r="DN47" s="294">
        <v>0</v>
      </c>
      <c r="DO47" s="294">
        <v>0</v>
      </c>
      <c r="DP47" s="294">
        <v>0</v>
      </c>
      <c r="DQ47" s="324">
        <v>-0.4599999999627471</v>
      </c>
      <c r="DR47" s="295">
        <v>8134934.7200000584</v>
      </c>
      <c r="DS47" s="325">
        <v>6510864.5799999963</v>
      </c>
      <c r="DT47" s="295">
        <v>2473575.6800000002</v>
      </c>
      <c r="DU47" s="295">
        <v>551807.23</v>
      </c>
      <c r="DV47" s="295">
        <v>287982.81</v>
      </c>
      <c r="DW47" s="295">
        <v>0</v>
      </c>
    </row>
    <row r="48" spans="1:131">
      <c r="A48" s="321">
        <v>3432</v>
      </c>
      <c r="B48" s="322" t="s">
        <v>488</v>
      </c>
      <c r="C48" s="321">
        <v>3432</v>
      </c>
      <c r="D48" s="323" t="s">
        <v>817</v>
      </c>
      <c r="E48" s="323" t="s">
        <v>539</v>
      </c>
      <c r="F48" s="323" t="s">
        <v>818</v>
      </c>
      <c r="G48" s="323" t="s">
        <v>537</v>
      </c>
      <c r="H48" s="294">
        <v>5666927.5199999996</v>
      </c>
      <c r="I48" s="294">
        <v>0</v>
      </c>
      <c r="J48" s="294">
        <v>278552.83</v>
      </c>
      <c r="K48" s="294">
        <v>0</v>
      </c>
      <c r="L48" s="294">
        <v>629000</v>
      </c>
      <c r="M48" s="294">
        <v>3456.93</v>
      </c>
      <c r="N48" s="294">
        <v>0</v>
      </c>
      <c r="O48" s="294">
        <v>1500</v>
      </c>
      <c r="P48" s="294">
        <v>45018.280000000013</v>
      </c>
      <c r="Q48" s="294">
        <v>0</v>
      </c>
      <c r="R48" s="294">
        <v>0</v>
      </c>
      <c r="S48" s="294">
        <v>0</v>
      </c>
      <c r="T48" s="294">
        <v>3830.47</v>
      </c>
      <c r="U48" s="294">
        <v>15406.49</v>
      </c>
      <c r="V48" s="294">
        <v>0</v>
      </c>
      <c r="W48" s="294">
        <v>11033.13</v>
      </c>
      <c r="X48" s="294">
        <v>80256</v>
      </c>
      <c r="Y48" s="294">
        <v>6734981.6499999994</v>
      </c>
      <c r="Z48" s="294">
        <v>2646532.0299999998</v>
      </c>
      <c r="AA48" s="294">
        <v>0</v>
      </c>
      <c r="AB48" s="294">
        <v>886661.61</v>
      </c>
      <c r="AC48" s="294">
        <v>119894.02000000002</v>
      </c>
      <c r="AD48" s="294">
        <v>423316.96</v>
      </c>
      <c r="AE48" s="294">
        <v>0</v>
      </c>
      <c r="AF48" s="294">
        <v>182568.74000000162</v>
      </c>
      <c r="AG48" s="294">
        <v>14069.44000000001</v>
      </c>
      <c r="AH48" s="294">
        <v>14917.68</v>
      </c>
      <c r="AI48" s="294">
        <v>0</v>
      </c>
      <c r="AJ48" s="294">
        <v>0</v>
      </c>
      <c r="AK48" s="294">
        <v>11981.400000000001</v>
      </c>
      <c r="AL48" s="294">
        <v>72407.59</v>
      </c>
      <c r="AM48" s="294">
        <v>56652.7</v>
      </c>
      <c r="AN48" s="294">
        <v>32935.960000000006</v>
      </c>
      <c r="AO48" s="294">
        <v>151660.12999999998</v>
      </c>
      <c r="AP48" s="294">
        <v>32329.8</v>
      </c>
      <c r="AQ48" s="294">
        <v>94369.53</v>
      </c>
      <c r="AR48" s="294">
        <v>112844.62999999995</v>
      </c>
      <c r="AS48" s="294">
        <v>100475.81</v>
      </c>
      <c r="AT48" s="294">
        <v>0</v>
      </c>
      <c r="AU48" s="294">
        <v>70485.73</v>
      </c>
      <c r="AV48" s="294">
        <v>20612.5</v>
      </c>
      <c r="AW48" s="294">
        <v>12765</v>
      </c>
      <c r="AX48" s="294">
        <v>315218</v>
      </c>
      <c r="AY48" s="294">
        <v>213315.66000000009</v>
      </c>
      <c r="AZ48" s="294">
        <v>42774.36</v>
      </c>
      <c r="BA48" s="294">
        <v>563974.00000000047</v>
      </c>
      <c r="BB48" s="294">
        <v>618882.99</v>
      </c>
      <c r="BC48" s="294">
        <v>0</v>
      </c>
      <c r="BD48" s="294">
        <v>0</v>
      </c>
      <c r="BE48" s="294">
        <v>6811646.2700000033</v>
      </c>
      <c r="BF48" s="294">
        <v>760807.51000000071</v>
      </c>
      <c r="BG48" s="294">
        <v>-76664.620000003837</v>
      </c>
      <c r="BH48" s="294">
        <v>684142.88999999687</v>
      </c>
      <c r="BI48" s="294">
        <v>13265.5</v>
      </c>
      <c r="BJ48" s="294">
        <v>0</v>
      </c>
      <c r="BK48" s="294">
        <v>0</v>
      </c>
      <c r="BL48" s="294">
        <v>13265.5</v>
      </c>
      <c r="BM48" s="294">
        <v>0</v>
      </c>
      <c r="BN48" s="294">
        <v>18210</v>
      </c>
      <c r="BO48" s="294">
        <v>0</v>
      </c>
      <c r="BP48" s="294">
        <v>0</v>
      </c>
      <c r="BQ48" s="294">
        <v>18210</v>
      </c>
      <c r="BR48" s="294">
        <v>5331.25</v>
      </c>
      <c r="BS48" s="294">
        <v>-4944.5</v>
      </c>
      <c r="BT48" s="294">
        <v>386.75</v>
      </c>
      <c r="BU48" s="294">
        <v>0</v>
      </c>
      <c r="BV48" s="294">
        <v>0</v>
      </c>
      <c r="BW48" s="294">
        <v>0</v>
      </c>
      <c r="BX48" s="294">
        <v>0</v>
      </c>
      <c r="BY48" s="294">
        <v>0</v>
      </c>
      <c r="BZ48" s="294">
        <v>0</v>
      </c>
      <c r="CA48" s="294">
        <v>0</v>
      </c>
      <c r="CB48" s="294">
        <v>0</v>
      </c>
      <c r="CC48" s="294">
        <v>0</v>
      </c>
      <c r="CD48" s="294">
        <v>684142.88999999687</v>
      </c>
      <c r="CE48" s="294">
        <v>0</v>
      </c>
      <c r="CF48" s="294">
        <v>386.75</v>
      </c>
      <c r="CG48" s="294">
        <v>0</v>
      </c>
      <c r="CH48" s="294">
        <v>0</v>
      </c>
      <c r="CI48" s="294">
        <f t="shared" si="0"/>
        <v>684529.63999999687</v>
      </c>
      <c r="CJ48" s="294">
        <v>1105530.77</v>
      </c>
      <c r="CK48" s="294">
        <v>4244.16</v>
      </c>
      <c r="CL48" s="294">
        <v>0</v>
      </c>
      <c r="CM48" s="294">
        <v>1101286.6100000001</v>
      </c>
      <c r="CN48" s="294">
        <v>0</v>
      </c>
      <c r="CO48" s="294">
        <v>0</v>
      </c>
      <c r="CP48" s="294">
        <v>29679.49</v>
      </c>
      <c r="CQ48" s="294">
        <v>27236.87</v>
      </c>
      <c r="CR48" s="294">
        <v>-371068.93</v>
      </c>
      <c r="CS48" s="294">
        <v>787134.04000000027</v>
      </c>
      <c r="CT48" s="294">
        <v>0</v>
      </c>
      <c r="CU48" s="294">
        <v>0</v>
      </c>
      <c r="CV48" s="294">
        <v>0</v>
      </c>
      <c r="CW48" s="294">
        <v>0</v>
      </c>
      <c r="CX48" s="294"/>
      <c r="CY48" s="294"/>
      <c r="CZ48" s="294"/>
      <c r="DA48" s="294">
        <v>0</v>
      </c>
      <c r="DB48" s="294">
        <v>0</v>
      </c>
      <c r="DC48" s="294">
        <v>0</v>
      </c>
      <c r="DD48" s="294">
        <v>21179.33</v>
      </c>
      <c r="DE48" s="294">
        <v>0</v>
      </c>
      <c r="DF48" s="294">
        <v>0</v>
      </c>
      <c r="DG48" s="294">
        <v>-37288.49</v>
      </c>
      <c r="DH48" s="294">
        <v>-81992.429999999993</v>
      </c>
      <c r="DI48" s="294">
        <v>0</v>
      </c>
      <c r="DJ48" s="294">
        <v>0</v>
      </c>
      <c r="DK48" s="294">
        <v>-20137.159999999996</v>
      </c>
      <c r="DL48" s="294">
        <v>0</v>
      </c>
      <c r="DM48" s="294">
        <v>0</v>
      </c>
      <c r="DN48" s="294">
        <v>-4502.8100000000004</v>
      </c>
      <c r="DO48" s="294">
        <v>0</v>
      </c>
      <c r="DP48" s="294">
        <v>0</v>
      </c>
      <c r="DQ48" s="324">
        <v>0</v>
      </c>
      <c r="DR48" s="295">
        <v>-3.2468960853293538E-10</v>
      </c>
      <c r="DS48" s="325"/>
      <c r="DT48" s="295"/>
      <c r="DU48" s="295"/>
      <c r="DV48" s="295"/>
      <c r="DW48" s="295">
        <v>-4502.8100000000004</v>
      </c>
    </row>
    <row r="49" spans="1:127">
      <c r="A49" s="321">
        <v>2289</v>
      </c>
      <c r="B49" s="322" t="s">
        <v>408</v>
      </c>
      <c r="C49" s="321">
        <v>2289</v>
      </c>
      <c r="D49" s="323" t="s">
        <v>817</v>
      </c>
      <c r="E49" s="323" t="s">
        <v>539</v>
      </c>
      <c r="F49" s="323" t="s">
        <v>818</v>
      </c>
      <c r="G49" s="323" t="s">
        <v>537</v>
      </c>
      <c r="H49" s="294">
        <v>2214056.09</v>
      </c>
      <c r="I49" s="294">
        <v>0</v>
      </c>
      <c r="J49" s="294">
        <v>84793.17</v>
      </c>
      <c r="K49" s="294">
        <v>0</v>
      </c>
      <c r="L49" s="294">
        <v>198580</v>
      </c>
      <c r="M49" s="294">
        <v>2400</v>
      </c>
      <c r="N49" s="294">
        <v>0</v>
      </c>
      <c r="O49" s="294">
        <v>13305.22</v>
      </c>
      <c r="P49" s="294">
        <v>50474.950000000019</v>
      </c>
      <c r="Q49" s="294">
        <v>0</v>
      </c>
      <c r="R49" s="294">
        <v>0</v>
      </c>
      <c r="S49" s="294">
        <v>0</v>
      </c>
      <c r="T49" s="294">
        <v>83244.72</v>
      </c>
      <c r="U49" s="294">
        <v>26278.98</v>
      </c>
      <c r="V49" s="294">
        <v>0</v>
      </c>
      <c r="W49" s="294">
        <v>10718.33</v>
      </c>
      <c r="X49" s="294">
        <v>78634</v>
      </c>
      <c r="Y49" s="294">
        <v>2762485.4600000004</v>
      </c>
      <c r="Z49" s="294">
        <v>1150790.1500000011</v>
      </c>
      <c r="AA49" s="294">
        <v>39929.21</v>
      </c>
      <c r="AB49" s="294">
        <v>408158.83</v>
      </c>
      <c r="AC49" s="294">
        <v>74875.410000000731</v>
      </c>
      <c r="AD49" s="294">
        <v>73168.289999999994</v>
      </c>
      <c r="AE49" s="294">
        <v>0</v>
      </c>
      <c r="AF49" s="294">
        <v>97498.879999999306</v>
      </c>
      <c r="AG49" s="294">
        <v>1480.700000000008</v>
      </c>
      <c r="AH49" s="294">
        <v>3960.85</v>
      </c>
      <c r="AI49" s="294">
        <v>0</v>
      </c>
      <c r="AJ49" s="294">
        <v>0</v>
      </c>
      <c r="AK49" s="294">
        <v>22744.87999999999</v>
      </c>
      <c r="AL49" s="294">
        <v>6151.32</v>
      </c>
      <c r="AM49" s="294">
        <v>4999.6899999999987</v>
      </c>
      <c r="AN49" s="294">
        <v>9563.5400000000009</v>
      </c>
      <c r="AO49" s="294">
        <v>29842.89</v>
      </c>
      <c r="AP49" s="294">
        <v>18982.84</v>
      </c>
      <c r="AQ49" s="294">
        <v>22648.550000000007</v>
      </c>
      <c r="AR49" s="294">
        <v>113504.49999999997</v>
      </c>
      <c r="AS49" s="294">
        <v>13963.31</v>
      </c>
      <c r="AT49" s="294">
        <v>0</v>
      </c>
      <c r="AU49" s="294">
        <v>16725.920000000009</v>
      </c>
      <c r="AV49" s="294">
        <v>9471</v>
      </c>
      <c r="AW49" s="294">
        <v>0</v>
      </c>
      <c r="AX49" s="294">
        <v>96316.060000000012</v>
      </c>
      <c r="AY49" s="294">
        <v>356525.08000000019</v>
      </c>
      <c r="AZ49" s="294">
        <v>10303.77</v>
      </c>
      <c r="BA49" s="294">
        <v>202315.74</v>
      </c>
      <c r="BB49" s="294">
        <v>0</v>
      </c>
      <c r="BC49" s="294">
        <v>0</v>
      </c>
      <c r="BD49" s="294">
        <v>0</v>
      </c>
      <c r="BE49" s="294">
        <v>2783921.410000002</v>
      </c>
      <c r="BF49" s="294">
        <v>38652.180000000408</v>
      </c>
      <c r="BG49" s="294">
        <v>-21435.950000001583</v>
      </c>
      <c r="BH49" s="294">
        <v>17216.229999998824</v>
      </c>
      <c r="BI49" s="294">
        <v>8590</v>
      </c>
      <c r="BJ49" s="294">
        <v>0</v>
      </c>
      <c r="BK49" s="294">
        <v>0</v>
      </c>
      <c r="BL49" s="294">
        <v>8590</v>
      </c>
      <c r="BM49" s="294">
        <v>0</v>
      </c>
      <c r="BN49" s="294">
        <v>18734.98</v>
      </c>
      <c r="BO49" s="294">
        <v>0</v>
      </c>
      <c r="BP49" s="294">
        <v>0</v>
      </c>
      <c r="BQ49" s="294">
        <v>18734.98</v>
      </c>
      <c r="BR49" s="294">
        <v>17804.330000000002</v>
      </c>
      <c r="BS49" s="294">
        <v>-10144.98</v>
      </c>
      <c r="BT49" s="294">
        <v>7659.3500000000022</v>
      </c>
      <c r="BU49" s="294">
        <v>0</v>
      </c>
      <c r="BV49" s="294">
        <v>0</v>
      </c>
      <c r="BW49" s="294">
        <v>0</v>
      </c>
      <c r="BX49" s="294">
        <v>0</v>
      </c>
      <c r="BY49" s="294">
        <v>0</v>
      </c>
      <c r="BZ49" s="294">
        <v>0</v>
      </c>
      <c r="CA49" s="294">
        <v>0</v>
      </c>
      <c r="CB49" s="294">
        <v>0</v>
      </c>
      <c r="CC49" s="294">
        <v>0</v>
      </c>
      <c r="CD49" s="294">
        <v>17216.229999998824</v>
      </c>
      <c r="CE49" s="294">
        <v>0</v>
      </c>
      <c r="CF49" s="294">
        <v>7659.3500000000022</v>
      </c>
      <c r="CG49" s="294">
        <v>0</v>
      </c>
      <c r="CH49" s="294">
        <v>0</v>
      </c>
      <c r="CI49" s="294">
        <f t="shared" si="0"/>
        <v>24875.579999998827</v>
      </c>
      <c r="CJ49" s="294">
        <v>218657.68</v>
      </c>
      <c r="CK49" s="294">
        <v>0</v>
      </c>
      <c r="CL49" s="294">
        <v>0</v>
      </c>
      <c r="CM49" s="294">
        <v>218657.68</v>
      </c>
      <c r="CN49" s="294">
        <v>0</v>
      </c>
      <c r="CO49" s="294">
        <v>0</v>
      </c>
      <c r="CP49" s="294">
        <v>10472.49</v>
      </c>
      <c r="CQ49" s="294">
        <v>0</v>
      </c>
      <c r="CR49" s="294">
        <v>-163526.66</v>
      </c>
      <c r="CS49" s="294">
        <v>65603.50999999998</v>
      </c>
      <c r="CT49" s="294">
        <v>0</v>
      </c>
      <c r="CU49" s="294">
        <v>0</v>
      </c>
      <c r="CV49" s="294">
        <v>0</v>
      </c>
      <c r="CW49" s="294">
        <v>0</v>
      </c>
      <c r="CX49" s="294"/>
      <c r="CY49" s="294"/>
      <c r="CZ49" s="294"/>
      <c r="DA49" s="294">
        <v>0</v>
      </c>
      <c r="DB49" s="294">
        <v>0</v>
      </c>
      <c r="DC49" s="294">
        <v>0</v>
      </c>
      <c r="DD49" s="294">
        <v>21402.93</v>
      </c>
      <c r="DE49" s="294">
        <v>0</v>
      </c>
      <c r="DF49" s="294">
        <v>0</v>
      </c>
      <c r="DG49" s="294">
        <v>-62130.86</v>
      </c>
      <c r="DH49" s="294">
        <v>0</v>
      </c>
      <c r="DI49" s="294">
        <v>0</v>
      </c>
      <c r="DJ49" s="294">
        <v>0</v>
      </c>
      <c r="DK49" s="294">
        <v>-40727.93</v>
      </c>
      <c r="DL49" s="294">
        <v>0</v>
      </c>
      <c r="DM49" s="294">
        <v>0</v>
      </c>
      <c r="DN49" s="294">
        <v>0</v>
      </c>
      <c r="DO49" s="294">
        <v>0</v>
      </c>
      <c r="DP49" s="294">
        <v>0</v>
      </c>
      <c r="DQ49" s="324">
        <v>0</v>
      </c>
      <c r="DR49" s="295">
        <v>1845901.4700000014</v>
      </c>
      <c r="DS49" s="325">
        <v>938019.94000000064</v>
      </c>
      <c r="DT49" s="295">
        <v>356525.08000000019</v>
      </c>
      <c r="DU49" s="295">
        <v>147024.89000000001</v>
      </c>
      <c r="DV49" s="295">
        <v>26278.98</v>
      </c>
      <c r="DW49" s="295">
        <v>0</v>
      </c>
    </row>
    <row r="50" spans="1:127">
      <c r="A50" s="321">
        <v>2185</v>
      </c>
      <c r="B50" s="322" t="s">
        <v>489</v>
      </c>
      <c r="C50" s="321">
        <v>2185</v>
      </c>
      <c r="D50" s="323" t="s">
        <v>817</v>
      </c>
      <c r="E50" s="323" t="s">
        <v>539</v>
      </c>
      <c r="F50" s="323" t="s">
        <v>818</v>
      </c>
      <c r="G50" s="323" t="s">
        <v>537</v>
      </c>
      <c r="H50" s="294">
        <v>2583002.8199999998</v>
      </c>
      <c r="I50" s="294">
        <v>0</v>
      </c>
      <c r="J50" s="294">
        <v>108772.39</v>
      </c>
      <c r="K50" s="294">
        <v>0</v>
      </c>
      <c r="L50" s="294">
        <v>206030</v>
      </c>
      <c r="M50" s="294">
        <v>5015.93</v>
      </c>
      <c r="N50" s="294">
        <v>0</v>
      </c>
      <c r="O50" s="294">
        <v>0</v>
      </c>
      <c r="P50" s="294">
        <v>315499.18</v>
      </c>
      <c r="Q50" s="294">
        <v>45072.009999999995</v>
      </c>
      <c r="R50" s="294">
        <v>0</v>
      </c>
      <c r="S50" s="294">
        <v>0</v>
      </c>
      <c r="T50" s="294">
        <v>-3646.69</v>
      </c>
      <c r="U50" s="294">
        <v>0</v>
      </c>
      <c r="V50" s="294">
        <v>0</v>
      </c>
      <c r="W50" s="294">
        <v>11383</v>
      </c>
      <c r="X50" s="294">
        <v>74408</v>
      </c>
      <c r="Y50" s="294">
        <v>3345536.64</v>
      </c>
      <c r="Z50" s="294">
        <v>1289785.0600000005</v>
      </c>
      <c r="AA50" s="294">
        <v>76.56</v>
      </c>
      <c r="AB50" s="294">
        <v>443978.6</v>
      </c>
      <c r="AC50" s="294">
        <v>51350.140000000771</v>
      </c>
      <c r="AD50" s="294">
        <v>121946.41</v>
      </c>
      <c r="AE50" s="294">
        <v>0</v>
      </c>
      <c r="AF50" s="294">
        <v>92427.939999999653</v>
      </c>
      <c r="AG50" s="294">
        <v>23377.450000000048</v>
      </c>
      <c r="AH50" s="294">
        <v>10210</v>
      </c>
      <c r="AI50" s="294">
        <v>0</v>
      </c>
      <c r="AJ50" s="294">
        <v>0</v>
      </c>
      <c r="AK50" s="294">
        <v>-16577.09</v>
      </c>
      <c r="AL50" s="294">
        <v>0</v>
      </c>
      <c r="AM50" s="294">
        <v>7054.82</v>
      </c>
      <c r="AN50" s="294">
        <v>0</v>
      </c>
      <c r="AO50" s="294">
        <v>73990.14</v>
      </c>
      <c r="AP50" s="294">
        <v>23760.83</v>
      </c>
      <c r="AQ50" s="294">
        <v>44153.22</v>
      </c>
      <c r="AR50" s="294">
        <v>452959.88</v>
      </c>
      <c r="AS50" s="294">
        <v>14124.95</v>
      </c>
      <c r="AT50" s="294">
        <v>72.11999999999999</v>
      </c>
      <c r="AU50" s="294">
        <v>132069.91</v>
      </c>
      <c r="AV50" s="294">
        <v>10771</v>
      </c>
      <c r="AW50" s="294">
        <v>0</v>
      </c>
      <c r="AX50" s="294">
        <v>225130.3</v>
      </c>
      <c r="AY50" s="294">
        <v>278945.21000000002</v>
      </c>
      <c r="AZ50" s="294">
        <v>10529.4</v>
      </c>
      <c r="BA50" s="294">
        <v>38756.39</v>
      </c>
      <c r="BB50" s="294">
        <v>0</v>
      </c>
      <c r="BC50" s="294">
        <v>0</v>
      </c>
      <c r="BD50" s="294">
        <v>1207.6099999999999</v>
      </c>
      <c r="BE50" s="294">
        <v>3330100.8500000015</v>
      </c>
      <c r="BF50" s="294">
        <v>95967.73000000001</v>
      </c>
      <c r="BG50" s="294">
        <v>15435.78999999864</v>
      </c>
      <c r="BH50" s="294">
        <v>111403.51999999865</v>
      </c>
      <c r="BI50" s="294">
        <v>9109.75</v>
      </c>
      <c r="BJ50" s="294">
        <v>0</v>
      </c>
      <c r="BK50" s="294">
        <v>1207.6099999999999</v>
      </c>
      <c r="BL50" s="294">
        <v>10317.36</v>
      </c>
      <c r="BM50" s="294">
        <v>0</v>
      </c>
      <c r="BN50" s="294">
        <v>19897</v>
      </c>
      <c r="BO50" s="294">
        <v>0</v>
      </c>
      <c r="BP50" s="294">
        <v>0</v>
      </c>
      <c r="BQ50" s="294">
        <v>19897</v>
      </c>
      <c r="BR50" s="294">
        <v>9579.64</v>
      </c>
      <c r="BS50" s="294">
        <v>-9579.64</v>
      </c>
      <c r="BT50" s="294">
        <v>0</v>
      </c>
      <c r="BU50" s="294">
        <v>0</v>
      </c>
      <c r="BV50" s="294">
        <v>0</v>
      </c>
      <c r="BW50" s="294">
        <v>0</v>
      </c>
      <c r="BX50" s="294">
        <v>0</v>
      </c>
      <c r="BY50" s="294">
        <v>0</v>
      </c>
      <c r="BZ50" s="294">
        <v>0</v>
      </c>
      <c r="CA50" s="294">
        <v>0</v>
      </c>
      <c r="CB50" s="294">
        <v>0</v>
      </c>
      <c r="CC50" s="294">
        <v>0</v>
      </c>
      <c r="CD50" s="294">
        <v>111403.51999999865</v>
      </c>
      <c r="CE50" s="294">
        <v>0</v>
      </c>
      <c r="CF50" s="294">
        <v>0</v>
      </c>
      <c r="CG50" s="294">
        <v>0</v>
      </c>
      <c r="CH50" s="294">
        <v>0</v>
      </c>
      <c r="CI50" s="294">
        <f t="shared" si="0"/>
        <v>111403.51999999865</v>
      </c>
      <c r="CJ50" s="294">
        <v>452532.89</v>
      </c>
      <c r="CK50" s="294">
        <v>34286.6</v>
      </c>
      <c r="CL50" s="294">
        <v>26704.67</v>
      </c>
      <c r="CM50" s="294">
        <v>444950.96</v>
      </c>
      <c r="CN50" s="294">
        <v>0</v>
      </c>
      <c r="CO50" s="294">
        <v>0</v>
      </c>
      <c r="CP50" s="294">
        <v>18991.72</v>
      </c>
      <c r="CQ50" s="294">
        <v>1386.39</v>
      </c>
      <c r="CR50" s="294">
        <v>-449678.38</v>
      </c>
      <c r="CS50" s="294">
        <v>15650.690000000061</v>
      </c>
      <c r="CT50" s="294">
        <v>0</v>
      </c>
      <c r="CU50" s="294">
        <v>0</v>
      </c>
      <c r="CV50" s="294">
        <v>0</v>
      </c>
      <c r="CW50" s="294">
        <v>0</v>
      </c>
      <c r="CX50" s="294"/>
      <c r="CY50" s="294"/>
      <c r="CZ50" s="294"/>
      <c r="DA50" s="294">
        <v>0</v>
      </c>
      <c r="DB50" s="294">
        <v>0</v>
      </c>
      <c r="DC50" s="294">
        <v>0</v>
      </c>
      <c r="DD50" s="294">
        <v>170649.09</v>
      </c>
      <c r="DE50" s="294">
        <v>0</v>
      </c>
      <c r="DF50" s="294">
        <v>0</v>
      </c>
      <c r="DG50" s="294">
        <v>-27227.55</v>
      </c>
      <c r="DH50" s="294">
        <v>-47668.61</v>
      </c>
      <c r="DI50" s="294">
        <v>0</v>
      </c>
      <c r="DJ50" s="294">
        <v>0</v>
      </c>
      <c r="DK50" s="294">
        <v>95752.930000000008</v>
      </c>
      <c r="DL50" s="294">
        <v>0</v>
      </c>
      <c r="DM50" s="294">
        <v>0</v>
      </c>
      <c r="DN50" s="294">
        <v>0</v>
      </c>
      <c r="DO50" s="294">
        <v>0</v>
      </c>
      <c r="DP50" s="294">
        <v>0</v>
      </c>
      <c r="DQ50" s="324">
        <v>-0.10000000006402843</v>
      </c>
      <c r="DR50" s="295">
        <v>2022942.1600000011</v>
      </c>
      <c r="DS50" s="325">
        <v>1307158.6900000004</v>
      </c>
      <c r="DT50" s="295">
        <v>278945.21000000002</v>
      </c>
      <c r="DU50" s="295">
        <v>356924.5</v>
      </c>
      <c r="DV50" s="295">
        <v>0</v>
      </c>
      <c r="DW50" s="295">
        <v>0</v>
      </c>
    </row>
    <row r="51" spans="1:127">
      <c r="A51" s="321">
        <v>5416</v>
      </c>
      <c r="B51" s="322" t="s">
        <v>347</v>
      </c>
      <c r="C51" s="321">
        <v>5416</v>
      </c>
      <c r="D51" s="323" t="s">
        <v>817</v>
      </c>
      <c r="E51" s="323" t="s">
        <v>543</v>
      </c>
      <c r="F51" s="323" t="s">
        <v>818</v>
      </c>
      <c r="G51" s="323" t="s">
        <v>537</v>
      </c>
      <c r="H51" s="294">
        <v>9303583.1199999992</v>
      </c>
      <c r="I51" s="294">
        <v>375138.74</v>
      </c>
      <c r="J51" s="294">
        <v>71671.710000000006</v>
      </c>
      <c r="K51" s="294">
        <v>0</v>
      </c>
      <c r="L51" s="294">
        <v>651760</v>
      </c>
      <c r="M51" s="294">
        <v>23941.08</v>
      </c>
      <c r="N51" s="294">
        <v>23432.059999999998</v>
      </c>
      <c r="O51" s="294">
        <v>40721.83</v>
      </c>
      <c r="P51" s="294">
        <v>79394.24000000002</v>
      </c>
      <c r="Q51" s="294">
        <v>121.15</v>
      </c>
      <c r="R51" s="294">
        <v>75214.399999999994</v>
      </c>
      <c r="S51" s="294">
        <v>0</v>
      </c>
      <c r="T51" s="294">
        <v>42678.07</v>
      </c>
      <c r="U51" s="294">
        <v>29991.64</v>
      </c>
      <c r="V51" s="294">
        <v>0</v>
      </c>
      <c r="W51" s="294">
        <v>154092</v>
      </c>
      <c r="X51" s="294">
        <v>0</v>
      </c>
      <c r="Y51" s="294">
        <v>10871740.040000003</v>
      </c>
      <c r="Z51" s="294">
        <v>5940257.8099999996</v>
      </c>
      <c r="AA51" s="294">
        <v>0</v>
      </c>
      <c r="AB51" s="294">
        <v>1564039.97</v>
      </c>
      <c r="AC51" s="294">
        <v>299060.17</v>
      </c>
      <c r="AD51" s="294">
        <v>813795.81</v>
      </c>
      <c r="AE51" s="294">
        <v>0</v>
      </c>
      <c r="AF51" s="294">
        <v>0</v>
      </c>
      <c r="AG51" s="294">
        <v>50572.71</v>
      </c>
      <c r="AH51" s="294">
        <v>7647.41</v>
      </c>
      <c r="AI51" s="294">
        <v>0</v>
      </c>
      <c r="AJ51" s="294">
        <v>0</v>
      </c>
      <c r="AK51" s="294">
        <v>177640.4</v>
      </c>
      <c r="AL51" s="294">
        <v>6466.83</v>
      </c>
      <c r="AM51" s="294">
        <v>154574.63</v>
      </c>
      <c r="AN51" s="294">
        <v>18904.940000000002</v>
      </c>
      <c r="AO51" s="294">
        <v>142113.51</v>
      </c>
      <c r="AP51" s="294">
        <v>8691.94</v>
      </c>
      <c r="AQ51" s="294">
        <v>69224.94</v>
      </c>
      <c r="AR51" s="294">
        <v>288118.2</v>
      </c>
      <c r="AS51" s="294">
        <v>0</v>
      </c>
      <c r="AT51" s="294">
        <v>137487.19</v>
      </c>
      <c r="AU51" s="294">
        <v>425832.99</v>
      </c>
      <c r="AV51" s="294">
        <v>33670.019999999997</v>
      </c>
      <c r="AW51" s="294">
        <v>0</v>
      </c>
      <c r="AX51" s="294">
        <v>176311</v>
      </c>
      <c r="AY51" s="294">
        <v>176160.66</v>
      </c>
      <c r="AZ51" s="294">
        <v>0</v>
      </c>
      <c r="BA51" s="294">
        <v>289710.52</v>
      </c>
      <c r="BB51" s="294">
        <v>0</v>
      </c>
      <c r="BC51" s="294">
        <v>0</v>
      </c>
      <c r="BD51" s="294">
        <v>0</v>
      </c>
      <c r="BE51" s="294">
        <v>10733898.809999999</v>
      </c>
      <c r="BF51" s="294">
        <v>400536.03000000259</v>
      </c>
      <c r="BG51" s="294">
        <v>137841.23000000417</v>
      </c>
      <c r="BH51" s="294">
        <v>538377.26000000676</v>
      </c>
      <c r="BI51" s="294">
        <v>55700.06</v>
      </c>
      <c r="BJ51" s="294">
        <v>0</v>
      </c>
      <c r="BK51" s="294">
        <v>0</v>
      </c>
      <c r="BL51" s="294">
        <v>55700.06</v>
      </c>
      <c r="BM51" s="294">
        <v>0</v>
      </c>
      <c r="BN51" s="294">
        <v>48583.91</v>
      </c>
      <c r="BO51" s="294">
        <v>0</v>
      </c>
      <c r="BP51" s="294">
        <v>77270.98</v>
      </c>
      <c r="BQ51" s="294">
        <v>125854.89</v>
      </c>
      <c r="BR51" s="294">
        <v>76713</v>
      </c>
      <c r="BS51" s="294">
        <v>-70154.83</v>
      </c>
      <c r="BT51" s="294">
        <v>6558.1699999999983</v>
      </c>
      <c r="BU51" s="294">
        <v>0</v>
      </c>
      <c r="BV51" s="294">
        <v>0</v>
      </c>
      <c r="BW51" s="294">
        <v>0</v>
      </c>
      <c r="BX51" s="294">
        <v>0</v>
      </c>
      <c r="BY51" s="294">
        <v>0</v>
      </c>
      <c r="BZ51" s="294">
        <v>0</v>
      </c>
      <c r="CA51" s="294">
        <v>0</v>
      </c>
      <c r="CB51" s="294">
        <v>0</v>
      </c>
      <c r="CC51" s="294">
        <v>0</v>
      </c>
      <c r="CD51" s="294">
        <v>538377.26000000676</v>
      </c>
      <c r="CE51" s="294">
        <v>0</v>
      </c>
      <c r="CF51" s="294">
        <v>6558.1699999999983</v>
      </c>
      <c r="CG51" s="294">
        <v>0</v>
      </c>
      <c r="CH51" s="294">
        <v>0</v>
      </c>
      <c r="CI51" s="294">
        <f t="shared" si="0"/>
        <v>544935.4300000068</v>
      </c>
      <c r="CJ51" s="294" t="s">
        <v>819</v>
      </c>
      <c r="CK51" s="294" t="s">
        <v>820</v>
      </c>
      <c r="CL51" s="294" t="s">
        <v>821</v>
      </c>
      <c r="CM51" s="294">
        <v>602967.49</v>
      </c>
      <c r="CN51" s="294">
        <v>0</v>
      </c>
      <c r="CO51" s="294">
        <v>0</v>
      </c>
      <c r="CP51" s="294">
        <v>65663.509999999995</v>
      </c>
      <c r="CQ51" s="294">
        <v>154157.48000000001</v>
      </c>
      <c r="CR51" s="294">
        <v>0</v>
      </c>
      <c r="CS51" s="294">
        <v>822788.48</v>
      </c>
      <c r="CT51" s="294">
        <v>0</v>
      </c>
      <c r="CU51" s="294">
        <v>0</v>
      </c>
      <c r="CV51" s="294">
        <v>0</v>
      </c>
      <c r="CW51" s="294">
        <v>0</v>
      </c>
      <c r="CX51" s="294"/>
      <c r="CY51" s="294"/>
      <c r="CZ51" s="294"/>
      <c r="DA51" s="294">
        <v>0</v>
      </c>
      <c r="DB51" s="294">
        <v>0</v>
      </c>
      <c r="DC51" s="294">
        <v>0</v>
      </c>
      <c r="DD51" s="294">
        <v>0</v>
      </c>
      <c r="DE51" s="294">
        <v>0</v>
      </c>
      <c r="DF51" s="294">
        <v>144109.26999999999</v>
      </c>
      <c r="DG51" s="294">
        <v>-15470.12</v>
      </c>
      <c r="DH51" s="294">
        <v>0</v>
      </c>
      <c r="DI51" s="294">
        <v>-425210.8</v>
      </c>
      <c r="DJ51" s="294">
        <v>0</v>
      </c>
      <c r="DK51" s="294">
        <v>-296571.65000000002</v>
      </c>
      <c r="DL51" s="294">
        <v>3202.58</v>
      </c>
      <c r="DM51" s="294">
        <v>18216.09</v>
      </c>
      <c r="DN51" s="294">
        <v>-2700</v>
      </c>
      <c r="DO51" s="294">
        <v>0</v>
      </c>
      <c r="DP51" s="294">
        <v>0</v>
      </c>
      <c r="DQ51" s="324">
        <v>-6.9999999832361937E-2</v>
      </c>
      <c r="DR51" s="295">
        <v>8621343.6300000008</v>
      </c>
      <c r="DS51" s="325">
        <v>2112555.1799999978</v>
      </c>
      <c r="DT51" s="295">
        <v>176160.66</v>
      </c>
      <c r="DU51" s="295">
        <v>162915.29</v>
      </c>
      <c r="DV51" s="295">
        <v>105206.04</v>
      </c>
      <c r="DW51" s="295">
        <v>18718.669999999998</v>
      </c>
    </row>
    <row r="52" spans="1:127">
      <c r="A52" s="321">
        <v>2054</v>
      </c>
      <c r="B52" s="322" t="s">
        <v>348</v>
      </c>
      <c r="C52" s="321">
        <v>2054</v>
      </c>
      <c r="D52" s="323" t="s">
        <v>817</v>
      </c>
      <c r="E52" s="323" t="s">
        <v>539</v>
      </c>
      <c r="F52" s="323" t="s">
        <v>818</v>
      </c>
      <c r="G52" s="323" t="s">
        <v>537</v>
      </c>
      <c r="H52" s="294">
        <v>2036147.98</v>
      </c>
      <c r="I52" s="294">
        <v>0</v>
      </c>
      <c r="J52" s="294">
        <v>170901.33</v>
      </c>
      <c r="K52" s="294">
        <v>0</v>
      </c>
      <c r="L52" s="294">
        <v>116010</v>
      </c>
      <c r="M52" s="294">
        <v>2400</v>
      </c>
      <c r="N52" s="294">
        <v>0</v>
      </c>
      <c r="O52" s="294">
        <v>0</v>
      </c>
      <c r="P52" s="294">
        <v>27254.62</v>
      </c>
      <c r="Q52" s="294">
        <v>166736.26</v>
      </c>
      <c r="R52" s="294">
        <v>0</v>
      </c>
      <c r="S52" s="294">
        <v>0</v>
      </c>
      <c r="T52" s="294">
        <v>5633.77</v>
      </c>
      <c r="U52" s="294">
        <v>0</v>
      </c>
      <c r="V52" s="294">
        <v>0</v>
      </c>
      <c r="W52" s="294">
        <v>4136.88</v>
      </c>
      <c r="X52" s="294">
        <v>143163</v>
      </c>
      <c r="Y52" s="294">
        <v>2672383.8400000003</v>
      </c>
      <c r="Z52" s="294">
        <v>1083486.81</v>
      </c>
      <c r="AA52" s="294">
        <v>0</v>
      </c>
      <c r="AB52" s="294">
        <v>364533.47</v>
      </c>
      <c r="AC52" s="294">
        <v>57103</v>
      </c>
      <c r="AD52" s="294">
        <v>99441.21</v>
      </c>
      <c r="AE52" s="294">
        <v>198616.83</v>
      </c>
      <c r="AF52" s="294">
        <v>70873.919999999998</v>
      </c>
      <c r="AG52" s="294">
        <v>272.8</v>
      </c>
      <c r="AH52" s="294">
        <v>4041</v>
      </c>
      <c r="AI52" s="294">
        <v>0</v>
      </c>
      <c r="AJ52" s="294">
        <v>0</v>
      </c>
      <c r="AK52" s="294">
        <v>49721.88</v>
      </c>
      <c r="AL52" s="294">
        <v>83.33</v>
      </c>
      <c r="AM52" s="294">
        <v>2194.35</v>
      </c>
      <c r="AN52" s="294">
        <v>7906.37</v>
      </c>
      <c r="AO52" s="294">
        <v>39409</v>
      </c>
      <c r="AP52" s="294">
        <v>14233.07</v>
      </c>
      <c r="AQ52" s="294">
        <v>7641.44</v>
      </c>
      <c r="AR52" s="294">
        <v>31893.99</v>
      </c>
      <c r="AS52" s="294">
        <v>6187.96</v>
      </c>
      <c r="AT52" s="294">
        <v>0</v>
      </c>
      <c r="AU52" s="294">
        <v>29641.59</v>
      </c>
      <c r="AV52" s="294">
        <v>9471</v>
      </c>
      <c r="AW52" s="294">
        <v>0</v>
      </c>
      <c r="AX52" s="294">
        <v>135896.32999999999</v>
      </c>
      <c r="AY52" s="294">
        <v>419279.61000000004</v>
      </c>
      <c r="AZ52" s="294">
        <v>23379.74</v>
      </c>
      <c r="BA52" s="294">
        <v>79095.509999999995</v>
      </c>
      <c r="BB52" s="294">
        <v>0</v>
      </c>
      <c r="BC52" s="294">
        <v>0</v>
      </c>
      <c r="BD52" s="294">
        <v>0</v>
      </c>
      <c r="BE52" s="294">
        <v>2734404.21</v>
      </c>
      <c r="BF52" s="294">
        <v>198226.82000000018</v>
      </c>
      <c r="BG52" s="294">
        <v>-62020.369999999646</v>
      </c>
      <c r="BH52" s="294">
        <v>136206.45000000054</v>
      </c>
      <c r="BI52" s="294">
        <v>8401</v>
      </c>
      <c r="BJ52" s="294">
        <v>0</v>
      </c>
      <c r="BK52" s="294">
        <v>0</v>
      </c>
      <c r="BL52" s="294">
        <v>8401</v>
      </c>
      <c r="BM52" s="294">
        <v>0</v>
      </c>
      <c r="BN52" s="294">
        <v>0</v>
      </c>
      <c r="BO52" s="294">
        <v>0</v>
      </c>
      <c r="BP52" s="294">
        <v>0</v>
      </c>
      <c r="BQ52" s="294">
        <v>0</v>
      </c>
      <c r="BR52" s="294">
        <v>34529.64</v>
      </c>
      <c r="BS52" s="294">
        <v>8401</v>
      </c>
      <c r="BT52" s="294">
        <v>42930.64</v>
      </c>
      <c r="BU52" s="294">
        <v>0</v>
      </c>
      <c r="BV52" s="294">
        <v>0</v>
      </c>
      <c r="BW52" s="294">
        <v>0</v>
      </c>
      <c r="BX52" s="294">
        <v>0</v>
      </c>
      <c r="BY52" s="294">
        <v>0</v>
      </c>
      <c r="BZ52" s="294">
        <v>0</v>
      </c>
      <c r="CA52" s="294">
        <v>0</v>
      </c>
      <c r="CB52" s="294">
        <v>0</v>
      </c>
      <c r="CC52" s="294">
        <v>0</v>
      </c>
      <c r="CD52" s="294">
        <v>136206.45000000054</v>
      </c>
      <c r="CE52" s="294">
        <v>0</v>
      </c>
      <c r="CF52" s="294">
        <v>42930.64</v>
      </c>
      <c r="CG52" s="294">
        <v>0</v>
      </c>
      <c r="CH52" s="294">
        <v>0</v>
      </c>
      <c r="CI52" s="294">
        <f t="shared" si="0"/>
        <v>179137.09000000055</v>
      </c>
      <c r="CJ52" s="294">
        <v>369569.95</v>
      </c>
      <c r="CK52" s="294">
        <v>192321.78</v>
      </c>
      <c r="CL52" s="294">
        <v>0</v>
      </c>
      <c r="CM52" s="294">
        <v>177248.17</v>
      </c>
      <c r="CN52" s="294">
        <v>0</v>
      </c>
      <c r="CO52" s="294">
        <v>0</v>
      </c>
      <c r="CP52" s="294">
        <v>9384.17</v>
      </c>
      <c r="CQ52" s="294">
        <v>0</v>
      </c>
      <c r="CR52" s="294">
        <v>0</v>
      </c>
      <c r="CS52" s="294">
        <v>186632.34000000003</v>
      </c>
      <c r="CT52" s="294">
        <v>0</v>
      </c>
      <c r="CU52" s="294">
        <v>0</v>
      </c>
      <c r="CV52" s="294">
        <v>0</v>
      </c>
      <c r="CW52" s="294">
        <v>0</v>
      </c>
      <c r="CX52" s="294"/>
      <c r="CY52" s="294"/>
      <c r="CZ52" s="294"/>
      <c r="DA52" s="294">
        <v>0</v>
      </c>
      <c r="DB52" s="294">
        <v>0</v>
      </c>
      <c r="DC52" s="294">
        <v>0</v>
      </c>
      <c r="DD52" s="294">
        <v>0</v>
      </c>
      <c r="DE52" s="294">
        <v>0</v>
      </c>
      <c r="DF52" s="294">
        <v>0</v>
      </c>
      <c r="DG52" s="294">
        <v>-9022.65</v>
      </c>
      <c r="DH52" s="294">
        <v>0</v>
      </c>
      <c r="DI52" s="294">
        <v>0</v>
      </c>
      <c r="DJ52" s="294">
        <v>0</v>
      </c>
      <c r="DK52" s="294">
        <v>-9022.65</v>
      </c>
      <c r="DL52" s="294">
        <v>1527.4</v>
      </c>
      <c r="DM52" s="294">
        <v>0</v>
      </c>
      <c r="DN52" s="294">
        <v>0</v>
      </c>
      <c r="DO52" s="294">
        <v>0</v>
      </c>
      <c r="DP52" s="294">
        <v>0</v>
      </c>
      <c r="DQ52" s="324">
        <v>0</v>
      </c>
      <c r="DR52" s="295">
        <v>1874328.04</v>
      </c>
      <c r="DS52" s="325">
        <v>860076.16999999993</v>
      </c>
      <c r="DT52" s="295">
        <v>419279.61000000004</v>
      </c>
      <c r="DU52" s="295">
        <v>199624.65</v>
      </c>
      <c r="DV52" s="295">
        <v>0</v>
      </c>
      <c r="DW52" s="295">
        <v>1527.4</v>
      </c>
    </row>
    <row r="53" spans="1:127">
      <c r="A53" s="321">
        <v>2053</v>
      </c>
      <c r="B53" s="322" t="s">
        <v>349</v>
      </c>
      <c r="C53" s="321">
        <v>2053</v>
      </c>
      <c r="D53" s="323" t="s">
        <v>817</v>
      </c>
      <c r="E53" s="323" t="s">
        <v>539</v>
      </c>
      <c r="F53" s="323" t="s">
        <v>818</v>
      </c>
      <c r="G53" s="323" t="s">
        <v>537</v>
      </c>
      <c r="H53" s="294">
        <v>2404325.4700000002</v>
      </c>
      <c r="I53" s="294">
        <v>0</v>
      </c>
      <c r="J53" s="294">
        <v>120802.44</v>
      </c>
      <c r="K53" s="294">
        <v>0</v>
      </c>
      <c r="L53" s="294">
        <v>205870</v>
      </c>
      <c r="M53" s="294">
        <v>8200</v>
      </c>
      <c r="N53" s="294">
        <v>0</v>
      </c>
      <c r="O53" s="294">
        <v>0</v>
      </c>
      <c r="P53" s="294">
        <v>282885.22000000003</v>
      </c>
      <c r="Q53" s="294">
        <v>-76915.960000000006</v>
      </c>
      <c r="R53" s="294">
        <v>0</v>
      </c>
      <c r="S53" s="294">
        <v>0</v>
      </c>
      <c r="T53" s="294">
        <v>58570.29</v>
      </c>
      <c r="U53" s="294">
        <v>0</v>
      </c>
      <c r="V53" s="294">
        <v>0</v>
      </c>
      <c r="W53" s="294">
        <v>8630</v>
      </c>
      <c r="X53" s="294">
        <v>20770</v>
      </c>
      <c r="Y53" s="294">
        <v>3033137.4600000004</v>
      </c>
      <c r="Z53" s="294">
        <v>1462123.37</v>
      </c>
      <c r="AA53" s="294">
        <v>0</v>
      </c>
      <c r="AB53" s="294">
        <v>526058.76</v>
      </c>
      <c r="AC53" s="294">
        <v>99382.53</v>
      </c>
      <c r="AD53" s="294">
        <v>147668.75</v>
      </c>
      <c r="AE53" s="294">
        <v>0</v>
      </c>
      <c r="AF53" s="294">
        <v>159328.78</v>
      </c>
      <c r="AG53" s="294">
        <v>2758.13</v>
      </c>
      <c r="AH53" s="294">
        <v>7180.6</v>
      </c>
      <c r="AI53" s="294">
        <v>0</v>
      </c>
      <c r="AJ53" s="294">
        <v>0</v>
      </c>
      <c r="AK53" s="294">
        <v>60410.11</v>
      </c>
      <c r="AL53" s="294">
        <v>0</v>
      </c>
      <c r="AM53" s="294">
        <v>6983.98</v>
      </c>
      <c r="AN53" s="294">
        <v>13157.78</v>
      </c>
      <c r="AO53" s="294">
        <v>89945.45</v>
      </c>
      <c r="AP53" s="294">
        <v>20481.73</v>
      </c>
      <c r="AQ53" s="294">
        <v>4356.8999999999996</v>
      </c>
      <c r="AR53" s="294">
        <v>117629.37</v>
      </c>
      <c r="AS53" s="294">
        <v>40730.47</v>
      </c>
      <c r="AT53" s="294">
        <v>0</v>
      </c>
      <c r="AU53" s="294">
        <v>27239.759999999998</v>
      </c>
      <c r="AV53" s="294">
        <v>12566.4</v>
      </c>
      <c r="AW53" s="294">
        <v>7748.5</v>
      </c>
      <c r="AX53" s="294">
        <v>3308.64</v>
      </c>
      <c r="AY53" s="294">
        <v>201347.6</v>
      </c>
      <c r="AZ53" s="294">
        <v>132217.56</v>
      </c>
      <c r="BA53" s="294">
        <v>60235.1</v>
      </c>
      <c r="BB53" s="294">
        <v>0</v>
      </c>
      <c r="BC53" s="294">
        <v>0</v>
      </c>
      <c r="BD53" s="294">
        <v>0</v>
      </c>
      <c r="BE53" s="294">
        <v>3202860.27</v>
      </c>
      <c r="BF53" s="294">
        <v>362818.87000000005</v>
      </c>
      <c r="BG53" s="294">
        <v>-169722.80999999959</v>
      </c>
      <c r="BH53" s="294">
        <v>193096.06000000046</v>
      </c>
      <c r="BI53" s="294">
        <v>9366.25</v>
      </c>
      <c r="BJ53" s="294">
        <v>0</v>
      </c>
      <c r="BK53" s="294">
        <v>0</v>
      </c>
      <c r="BL53" s="294">
        <v>9366.25</v>
      </c>
      <c r="BM53" s="294">
        <v>0</v>
      </c>
      <c r="BN53" s="294">
        <v>0</v>
      </c>
      <c r="BO53" s="294">
        <v>356</v>
      </c>
      <c r="BP53" s="294">
        <v>0</v>
      </c>
      <c r="BQ53" s="294">
        <v>356</v>
      </c>
      <c r="BR53" s="294">
        <v>26804.32</v>
      </c>
      <c r="BS53" s="294">
        <v>9010.25</v>
      </c>
      <c r="BT53" s="294">
        <v>35814.57</v>
      </c>
      <c r="BU53" s="294">
        <v>0</v>
      </c>
      <c r="BV53" s="294">
        <v>0</v>
      </c>
      <c r="BW53" s="294">
        <v>0</v>
      </c>
      <c r="BX53" s="294">
        <v>0</v>
      </c>
      <c r="BY53" s="294">
        <v>0</v>
      </c>
      <c r="BZ53" s="294">
        <v>0</v>
      </c>
      <c r="CA53" s="294">
        <v>0</v>
      </c>
      <c r="CB53" s="294">
        <v>0</v>
      </c>
      <c r="CC53" s="294">
        <v>0</v>
      </c>
      <c r="CD53" s="294">
        <v>193096.06000000046</v>
      </c>
      <c r="CE53" s="294">
        <v>0</v>
      </c>
      <c r="CF53" s="294">
        <v>35814.57</v>
      </c>
      <c r="CG53" s="294">
        <v>0</v>
      </c>
      <c r="CH53" s="294">
        <v>0</v>
      </c>
      <c r="CI53" s="294">
        <f t="shared" si="0"/>
        <v>228910.63000000047</v>
      </c>
      <c r="CJ53" s="294">
        <v>457810.94</v>
      </c>
      <c r="CK53" s="294">
        <v>217863.12</v>
      </c>
      <c r="CL53" s="294">
        <v>0</v>
      </c>
      <c r="CM53" s="294">
        <v>239947.82</v>
      </c>
      <c r="CN53" s="294">
        <v>0</v>
      </c>
      <c r="CO53" s="294">
        <v>0</v>
      </c>
      <c r="CP53" s="294">
        <v>9419.92</v>
      </c>
      <c r="CQ53" s="294">
        <v>0</v>
      </c>
      <c r="CR53" s="294">
        <v>0</v>
      </c>
      <c r="CS53" s="294">
        <v>249367.74000000002</v>
      </c>
      <c r="CT53" s="294">
        <v>1321.19</v>
      </c>
      <c r="CU53" s="294">
        <v>0</v>
      </c>
      <c r="CV53" s="294">
        <v>0</v>
      </c>
      <c r="CW53" s="294">
        <v>1321.19</v>
      </c>
      <c r="CX53" s="294"/>
      <c r="CY53" s="294"/>
      <c r="CZ53" s="294"/>
      <c r="DA53" s="294">
        <v>0</v>
      </c>
      <c r="DB53" s="294">
        <v>1321.19</v>
      </c>
      <c r="DC53" s="294">
        <v>0</v>
      </c>
      <c r="DD53" s="294">
        <v>699.21</v>
      </c>
      <c r="DE53" s="294">
        <v>0</v>
      </c>
      <c r="DF53" s="294">
        <v>0</v>
      </c>
      <c r="DG53" s="294">
        <v>-22477.51</v>
      </c>
      <c r="DH53" s="294">
        <v>0</v>
      </c>
      <c r="DI53" s="294">
        <v>0</v>
      </c>
      <c r="DJ53" s="294">
        <v>0</v>
      </c>
      <c r="DK53" s="294">
        <v>-21778.3</v>
      </c>
      <c r="DL53" s="294">
        <v>0</v>
      </c>
      <c r="DM53" s="294">
        <v>0</v>
      </c>
      <c r="DN53" s="294">
        <v>0</v>
      </c>
      <c r="DO53" s="294">
        <v>0</v>
      </c>
      <c r="DP53" s="294">
        <v>0</v>
      </c>
      <c r="DQ53" s="324"/>
      <c r="DR53" s="295">
        <v>2397320.3199999998</v>
      </c>
      <c r="DS53" s="325">
        <v>805539.95000000019</v>
      </c>
      <c r="DT53" s="295">
        <v>201347.6</v>
      </c>
      <c r="DU53" s="295">
        <v>264539.55</v>
      </c>
      <c r="DV53" s="295">
        <v>0</v>
      </c>
      <c r="DW53" s="295">
        <v>0</v>
      </c>
    </row>
    <row r="54" spans="1:127">
      <c r="A54" s="321">
        <v>2464</v>
      </c>
      <c r="B54" s="322" t="s">
        <v>490</v>
      </c>
      <c r="C54" s="321">
        <v>2464</v>
      </c>
      <c r="D54" s="323" t="s">
        <v>817</v>
      </c>
      <c r="E54" s="323" t="s">
        <v>539</v>
      </c>
      <c r="F54" s="323" t="s">
        <v>818</v>
      </c>
      <c r="G54" s="323" t="s">
        <v>799</v>
      </c>
      <c r="H54" s="294">
        <v>2056319.81</v>
      </c>
      <c r="I54" s="294">
        <v>0</v>
      </c>
      <c r="J54" s="294">
        <v>57915.92</v>
      </c>
      <c r="K54" s="294">
        <v>0</v>
      </c>
      <c r="L54" s="294">
        <v>44710</v>
      </c>
      <c r="M54" s="294">
        <v>7713.86</v>
      </c>
      <c r="N54" s="294">
        <v>0</v>
      </c>
      <c r="O54" s="294">
        <v>19716.75</v>
      </c>
      <c r="P54" s="294">
        <v>224076.69000000006</v>
      </c>
      <c r="Q54" s="294">
        <v>38934.47</v>
      </c>
      <c r="R54" s="294">
        <v>0</v>
      </c>
      <c r="S54" s="294">
        <v>0</v>
      </c>
      <c r="T54" s="294">
        <v>104816.93</v>
      </c>
      <c r="U54" s="294">
        <v>0</v>
      </c>
      <c r="V54" s="294">
        <v>0</v>
      </c>
      <c r="W54" s="294">
        <v>716.25</v>
      </c>
      <c r="X54" s="294">
        <v>94681</v>
      </c>
      <c r="Y54" s="294">
        <v>2649601.6800000002</v>
      </c>
      <c r="Z54" s="294">
        <v>1173370.9500000007</v>
      </c>
      <c r="AA54" s="294">
        <v>-209.02999999999997</v>
      </c>
      <c r="AB54" s="294">
        <v>4742.4299999999994</v>
      </c>
      <c r="AC54" s="294">
        <v>351290.53000000049</v>
      </c>
      <c r="AD54" s="294">
        <v>133.75999999999991</v>
      </c>
      <c r="AE54" s="294">
        <v>0</v>
      </c>
      <c r="AF54" s="294">
        <v>402802.51999999915</v>
      </c>
      <c r="AG54" s="294">
        <v>-6032.2500000000036</v>
      </c>
      <c r="AH54" s="294">
        <v>80</v>
      </c>
      <c r="AI54" s="294">
        <v>0</v>
      </c>
      <c r="AJ54" s="294">
        <v>0</v>
      </c>
      <c r="AK54" s="294">
        <v>10504.41</v>
      </c>
      <c r="AL54" s="294">
        <v>0</v>
      </c>
      <c r="AM54" s="294">
        <v>4853.7</v>
      </c>
      <c r="AN54" s="294">
        <v>3048.22</v>
      </c>
      <c r="AO54" s="294">
        <v>89608.62999999999</v>
      </c>
      <c r="AP54" s="294">
        <v>32064.81</v>
      </c>
      <c r="AQ54" s="294">
        <v>3457.3</v>
      </c>
      <c r="AR54" s="294">
        <v>363217.63</v>
      </c>
      <c r="AS54" s="294">
        <v>851.4</v>
      </c>
      <c r="AT54" s="294">
        <v>0</v>
      </c>
      <c r="AU54" s="294">
        <v>-31699.740000000009</v>
      </c>
      <c r="AV54" s="294">
        <v>9471</v>
      </c>
      <c r="AW54" s="294">
        <v>0</v>
      </c>
      <c r="AX54" s="294">
        <v>153044.06</v>
      </c>
      <c r="AY54" s="294">
        <v>2304.9299999999998</v>
      </c>
      <c r="AZ54" s="294">
        <v>10454.19</v>
      </c>
      <c r="BA54" s="294">
        <v>73544.649999999994</v>
      </c>
      <c r="BB54" s="294">
        <v>0</v>
      </c>
      <c r="BC54" s="294">
        <v>0</v>
      </c>
      <c r="BD54" s="294">
        <v>0</v>
      </c>
      <c r="BE54" s="294">
        <v>2650904.0999999996</v>
      </c>
      <c r="BF54" s="294">
        <v>-373296.31000000017</v>
      </c>
      <c r="BG54" s="294">
        <v>-1302.4199999994598</v>
      </c>
      <c r="BH54" s="294">
        <v>-374598.72999999963</v>
      </c>
      <c r="BI54" s="294">
        <v>8657.5</v>
      </c>
      <c r="BJ54" s="294">
        <v>0</v>
      </c>
      <c r="BK54" s="294">
        <v>0</v>
      </c>
      <c r="BL54" s="294">
        <v>8657.5</v>
      </c>
      <c r="BM54" s="294">
        <v>0</v>
      </c>
      <c r="BN54" s="294">
        <v>2685.32</v>
      </c>
      <c r="BO54" s="294">
        <v>0</v>
      </c>
      <c r="BP54" s="294">
        <v>0</v>
      </c>
      <c r="BQ54" s="294">
        <v>2685.32</v>
      </c>
      <c r="BR54" s="294">
        <v>10848.38</v>
      </c>
      <c r="BS54" s="294">
        <v>5972.18</v>
      </c>
      <c r="BT54" s="294">
        <v>16820.559999999998</v>
      </c>
      <c r="BU54" s="294">
        <v>0</v>
      </c>
      <c r="BV54" s="294">
        <v>0</v>
      </c>
      <c r="BW54" s="294">
        <v>0</v>
      </c>
      <c r="BX54" s="294">
        <v>0</v>
      </c>
      <c r="BY54" s="294">
        <v>0</v>
      </c>
      <c r="BZ54" s="294">
        <v>0</v>
      </c>
      <c r="CA54" s="294">
        <v>0</v>
      </c>
      <c r="CB54" s="294">
        <v>0</v>
      </c>
      <c r="CC54" s="294">
        <v>0</v>
      </c>
      <c r="CD54" s="294">
        <v>-374598.72999999963</v>
      </c>
      <c r="CE54" s="294">
        <v>0</v>
      </c>
      <c r="CF54" s="294">
        <v>16820.559999999998</v>
      </c>
      <c r="CG54" s="294">
        <v>0</v>
      </c>
      <c r="CH54" s="294">
        <v>0</v>
      </c>
      <c r="CI54" s="294">
        <f t="shared" si="0"/>
        <v>-357778.16999999963</v>
      </c>
      <c r="CJ54" s="294">
        <v>0</v>
      </c>
      <c r="CK54" s="294">
        <v>0</v>
      </c>
      <c r="CL54" s="294">
        <v>0</v>
      </c>
      <c r="CM54" s="294">
        <v>0</v>
      </c>
      <c r="CN54" s="294">
        <v>0</v>
      </c>
      <c r="CO54" s="294">
        <v>0</v>
      </c>
      <c r="CP54" s="294">
        <v>0</v>
      </c>
      <c r="CQ54" s="294">
        <v>0</v>
      </c>
      <c r="CR54" s="294">
        <v>0</v>
      </c>
      <c r="CS54" s="294">
        <v>0</v>
      </c>
      <c r="CT54" s="294">
        <v>0</v>
      </c>
      <c r="CU54" s="294">
        <v>0</v>
      </c>
      <c r="CV54" s="294">
        <v>0</v>
      </c>
      <c r="CW54" s="294">
        <v>0</v>
      </c>
      <c r="CX54" s="294"/>
      <c r="CY54" s="294"/>
      <c r="CZ54" s="294"/>
      <c r="DA54" s="294">
        <v>-311924.47999999998</v>
      </c>
      <c r="DB54" s="294">
        <v>-311924.47999999998</v>
      </c>
      <c r="DC54" s="294">
        <v>0</v>
      </c>
      <c r="DD54" s="294">
        <v>109.2</v>
      </c>
      <c r="DE54" s="294">
        <v>0</v>
      </c>
      <c r="DF54" s="294">
        <v>0</v>
      </c>
      <c r="DG54" s="294">
        <v>0</v>
      </c>
      <c r="DH54" s="294">
        <v>0</v>
      </c>
      <c r="DI54" s="294">
        <v>0</v>
      </c>
      <c r="DJ54" s="294">
        <v>0</v>
      </c>
      <c r="DK54" s="294">
        <v>109.2</v>
      </c>
      <c r="DL54" s="294">
        <v>0</v>
      </c>
      <c r="DM54" s="294">
        <v>0</v>
      </c>
      <c r="DN54" s="294">
        <v>0</v>
      </c>
      <c r="DO54" s="294">
        <v>0</v>
      </c>
      <c r="DP54" s="294">
        <v>0</v>
      </c>
      <c r="DQ54" s="324">
        <v>0</v>
      </c>
      <c r="DR54" s="295">
        <v>1926098.9100000001</v>
      </c>
      <c r="DS54" s="325">
        <v>724805.18999999948</v>
      </c>
      <c r="DT54" s="295">
        <v>2304.9299999999998</v>
      </c>
      <c r="DU54" s="295">
        <v>387544.84</v>
      </c>
      <c r="DV54" s="295">
        <v>0</v>
      </c>
      <c r="DW54" s="295">
        <v>0</v>
      </c>
    </row>
    <row r="55" spans="1:127">
      <c r="A55" s="321">
        <v>3320</v>
      </c>
      <c r="B55" s="322" t="s">
        <v>409</v>
      </c>
      <c r="C55" s="321">
        <v>3320</v>
      </c>
      <c r="D55" s="323" t="s">
        <v>817</v>
      </c>
      <c r="E55" s="323" t="s">
        <v>539</v>
      </c>
      <c r="F55" s="323" t="s">
        <v>818</v>
      </c>
      <c r="G55" s="323" t="s">
        <v>537</v>
      </c>
      <c r="H55" s="294">
        <v>2472474.52</v>
      </c>
      <c r="I55" s="294">
        <v>0</v>
      </c>
      <c r="J55" s="294">
        <v>83517.919999999998</v>
      </c>
      <c r="K55" s="294">
        <v>0</v>
      </c>
      <c r="L55" s="294">
        <v>366180</v>
      </c>
      <c r="M55" s="294">
        <v>2213</v>
      </c>
      <c r="N55" s="294">
        <v>4626.07</v>
      </c>
      <c r="O55" s="294">
        <v>0</v>
      </c>
      <c r="P55" s="294">
        <v>105225.66999999998</v>
      </c>
      <c r="Q55" s="294">
        <v>18628.86</v>
      </c>
      <c r="R55" s="294">
        <v>0</v>
      </c>
      <c r="S55" s="294">
        <v>0</v>
      </c>
      <c r="T55" s="294">
        <v>17769.720000000008</v>
      </c>
      <c r="U55" s="294">
        <v>0</v>
      </c>
      <c r="V55" s="294">
        <v>0</v>
      </c>
      <c r="W55" s="294">
        <v>19447.830000000002</v>
      </c>
      <c r="X55" s="294">
        <v>56772</v>
      </c>
      <c r="Y55" s="294">
        <v>3146855.59</v>
      </c>
      <c r="Z55" s="294">
        <v>1298248.9700000011</v>
      </c>
      <c r="AA55" s="294">
        <v>11488.24</v>
      </c>
      <c r="AB55" s="294">
        <v>601038.44000000006</v>
      </c>
      <c r="AC55" s="294">
        <v>40908.739999999874</v>
      </c>
      <c r="AD55" s="294">
        <v>76361.86</v>
      </c>
      <c r="AE55" s="294">
        <v>0</v>
      </c>
      <c r="AF55" s="294">
        <v>98730.10999999987</v>
      </c>
      <c r="AG55" s="294">
        <v>2090.3999999999778</v>
      </c>
      <c r="AH55" s="294">
        <v>15365.03</v>
      </c>
      <c r="AI55" s="294">
        <v>0</v>
      </c>
      <c r="AJ55" s="294">
        <v>0</v>
      </c>
      <c r="AK55" s="294">
        <v>186196.31</v>
      </c>
      <c r="AL55" s="294">
        <v>3155.5</v>
      </c>
      <c r="AM55" s="294">
        <v>40723.990000000005</v>
      </c>
      <c r="AN55" s="294">
        <v>1492.1199999999997</v>
      </c>
      <c r="AO55" s="294">
        <v>39130.990000000013</v>
      </c>
      <c r="AP55" s="294">
        <v>49686.5</v>
      </c>
      <c r="AQ55" s="294">
        <v>60753.2</v>
      </c>
      <c r="AR55" s="294">
        <v>132277.19</v>
      </c>
      <c r="AS55" s="294">
        <v>55827.69</v>
      </c>
      <c r="AT55" s="294">
        <v>0</v>
      </c>
      <c r="AU55" s="294">
        <v>27938.359999999942</v>
      </c>
      <c r="AV55" s="294">
        <v>0</v>
      </c>
      <c r="AW55" s="294">
        <v>2415</v>
      </c>
      <c r="AX55" s="294">
        <v>85292.359999999986</v>
      </c>
      <c r="AY55" s="294">
        <v>52931.500000000007</v>
      </c>
      <c r="AZ55" s="294">
        <v>10479.26</v>
      </c>
      <c r="BA55" s="294">
        <v>53870.889999999992</v>
      </c>
      <c r="BB55" s="294">
        <v>0</v>
      </c>
      <c r="BC55" s="294">
        <v>0</v>
      </c>
      <c r="BD55" s="294">
        <v>0</v>
      </c>
      <c r="BE55" s="294">
        <v>2946402.6500000013</v>
      </c>
      <c r="BF55" s="294">
        <v>961994.23000000021</v>
      </c>
      <c r="BG55" s="294">
        <v>200452.93999999855</v>
      </c>
      <c r="BH55" s="294">
        <v>1162447.1699999988</v>
      </c>
      <c r="BI55" s="294">
        <v>0</v>
      </c>
      <c r="BJ55" s="294">
        <v>0</v>
      </c>
      <c r="BK55" s="294">
        <v>0</v>
      </c>
      <c r="BL55" s="294">
        <v>0</v>
      </c>
      <c r="BM55" s="294">
        <v>0</v>
      </c>
      <c r="BN55" s="294">
        <v>0</v>
      </c>
      <c r="BO55" s="294">
        <v>0</v>
      </c>
      <c r="BP55" s="294">
        <v>0</v>
      </c>
      <c r="BQ55" s="294">
        <v>0</v>
      </c>
      <c r="BR55" s="294">
        <v>0</v>
      </c>
      <c r="BS55" s="294">
        <v>0</v>
      </c>
      <c r="BT55" s="294">
        <v>0</v>
      </c>
      <c r="BU55" s="294">
        <v>0</v>
      </c>
      <c r="BV55" s="294">
        <v>0</v>
      </c>
      <c r="BW55" s="294">
        <v>0</v>
      </c>
      <c r="BX55" s="294">
        <v>0</v>
      </c>
      <c r="BY55" s="294">
        <v>0</v>
      </c>
      <c r="BZ55" s="294">
        <v>0</v>
      </c>
      <c r="CA55" s="294">
        <v>0</v>
      </c>
      <c r="CB55" s="294">
        <v>0</v>
      </c>
      <c r="CC55" s="294">
        <v>0</v>
      </c>
      <c r="CD55" s="294">
        <v>1162447.1699999988</v>
      </c>
      <c r="CE55" s="294">
        <v>0</v>
      </c>
      <c r="CF55" s="294">
        <v>0</v>
      </c>
      <c r="CG55" s="294">
        <v>0</v>
      </c>
      <c r="CH55" s="294">
        <v>0</v>
      </c>
      <c r="CI55" s="294">
        <f t="shared" si="0"/>
        <v>1162447.1699999988</v>
      </c>
      <c r="CJ55" s="294">
        <v>1389734.17</v>
      </c>
      <c r="CK55" s="294">
        <v>0</v>
      </c>
      <c r="CL55" s="294">
        <v>0</v>
      </c>
      <c r="CM55" s="294">
        <v>1389734.17</v>
      </c>
      <c r="CN55" s="294">
        <v>-700</v>
      </c>
      <c r="CO55" s="294">
        <v>0</v>
      </c>
      <c r="CP55" s="294">
        <v>12972.62</v>
      </c>
      <c r="CQ55" s="294">
        <v>0</v>
      </c>
      <c r="CR55" s="294">
        <v>-226408.71999999991</v>
      </c>
      <c r="CS55" s="294">
        <v>1175598.07</v>
      </c>
      <c r="CT55" s="294">
        <v>0</v>
      </c>
      <c r="CU55" s="294">
        <v>0</v>
      </c>
      <c r="CV55" s="294">
        <v>0</v>
      </c>
      <c r="CW55" s="294">
        <v>0</v>
      </c>
      <c r="CX55" s="294"/>
      <c r="CY55" s="294"/>
      <c r="CZ55" s="294"/>
      <c r="DA55" s="294">
        <v>0</v>
      </c>
      <c r="DB55" s="294">
        <v>0</v>
      </c>
      <c r="DC55" s="294">
        <v>0</v>
      </c>
      <c r="DD55" s="294">
        <v>28794.46</v>
      </c>
      <c r="DE55" s="294">
        <v>0</v>
      </c>
      <c r="DF55" s="294">
        <v>0</v>
      </c>
      <c r="DG55" s="294">
        <v>-6767.39</v>
      </c>
      <c r="DH55" s="294">
        <v>-35178.44</v>
      </c>
      <c r="DI55" s="294">
        <v>0</v>
      </c>
      <c r="DJ55" s="294">
        <v>0</v>
      </c>
      <c r="DK55" s="294">
        <v>-13151.370000000003</v>
      </c>
      <c r="DL55" s="294">
        <v>0</v>
      </c>
      <c r="DM55" s="294">
        <v>0</v>
      </c>
      <c r="DN55" s="294">
        <v>0</v>
      </c>
      <c r="DO55" s="294">
        <v>0</v>
      </c>
      <c r="DP55" s="294">
        <v>0</v>
      </c>
      <c r="DQ55" s="324">
        <v>0.46999999997206032</v>
      </c>
      <c r="DR55" s="295">
        <v>2128866.7600000012</v>
      </c>
      <c r="DS55" s="325">
        <v>817535.89000000013</v>
      </c>
      <c r="DT55" s="295">
        <v>52931.500000000007</v>
      </c>
      <c r="DU55" s="295">
        <v>141624.25</v>
      </c>
      <c r="DV55" s="295">
        <v>0</v>
      </c>
      <c r="DW55" s="295">
        <v>0</v>
      </c>
    </row>
    <row r="56" spans="1:127">
      <c r="A56" s="321">
        <v>2055</v>
      </c>
      <c r="B56" s="322" t="s">
        <v>350</v>
      </c>
      <c r="C56" s="321">
        <v>2055</v>
      </c>
      <c r="D56" s="323" t="s">
        <v>817</v>
      </c>
      <c r="E56" s="323" t="s">
        <v>539</v>
      </c>
      <c r="F56" s="323" t="s">
        <v>818</v>
      </c>
      <c r="G56" s="323" t="s">
        <v>537</v>
      </c>
      <c r="H56" s="294">
        <v>2370472.5099999998</v>
      </c>
      <c r="I56" s="294">
        <v>0</v>
      </c>
      <c r="J56" s="294">
        <v>93328.27</v>
      </c>
      <c r="K56" s="294">
        <v>0</v>
      </c>
      <c r="L56" s="294">
        <v>168280</v>
      </c>
      <c r="M56" s="294">
        <v>1056.93</v>
      </c>
      <c r="N56" s="294">
        <v>0</v>
      </c>
      <c r="O56" s="294">
        <v>8584</v>
      </c>
      <c r="P56" s="294">
        <v>5788.95</v>
      </c>
      <c r="Q56" s="294">
        <v>37139.199999999997</v>
      </c>
      <c r="R56" s="294">
        <v>0</v>
      </c>
      <c r="S56" s="294">
        <v>0</v>
      </c>
      <c r="T56" s="294">
        <v>56716.7</v>
      </c>
      <c r="U56" s="294">
        <v>220264.56</v>
      </c>
      <c r="V56" s="294">
        <v>0</v>
      </c>
      <c r="W56" s="294">
        <v>2670.83</v>
      </c>
      <c r="X56" s="294">
        <v>86394</v>
      </c>
      <c r="Y56" s="294">
        <v>3050695.9500000007</v>
      </c>
      <c r="Z56" s="294">
        <v>1328057.29</v>
      </c>
      <c r="AA56" s="294">
        <v>0</v>
      </c>
      <c r="AB56" s="294">
        <v>339128.35</v>
      </c>
      <c r="AC56" s="294">
        <v>250.25</v>
      </c>
      <c r="AD56" s="294">
        <v>420195.53</v>
      </c>
      <c r="AE56" s="294">
        <v>0</v>
      </c>
      <c r="AF56" s="294">
        <v>211816.08</v>
      </c>
      <c r="AG56" s="294">
        <v>9356.8700000000008</v>
      </c>
      <c r="AH56" s="294">
        <v>16148</v>
      </c>
      <c r="AI56" s="294">
        <v>0</v>
      </c>
      <c r="AJ56" s="294">
        <v>0</v>
      </c>
      <c r="AK56" s="294">
        <v>32195.46</v>
      </c>
      <c r="AL56" s="294">
        <v>0</v>
      </c>
      <c r="AM56" s="294">
        <v>36403.410000000003</v>
      </c>
      <c r="AN56" s="294">
        <v>5395.17</v>
      </c>
      <c r="AO56" s="294">
        <v>40573.040000000001</v>
      </c>
      <c r="AP56" s="294">
        <v>27824.83</v>
      </c>
      <c r="AQ56" s="294">
        <v>2125.7399999999998</v>
      </c>
      <c r="AR56" s="294">
        <v>100041.37</v>
      </c>
      <c r="AS56" s="294">
        <v>100292.28</v>
      </c>
      <c r="AT56" s="294">
        <v>0</v>
      </c>
      <c r="AU56" s="294">
        <v>2217.77</v>
      </c>
      <c r="AV56" s="294">
        <v>11075</v>
      </c>
      <c r="AW56" s="294">
        <v>4078</v>
      </c>
      <c r="AX56" s="294">
        <v>130413.16</v>
      </c>
      <c r="AY56" s="294">
        <v>76482.34</v>
      </c>
      <c r="AZ56" s="294">
        <v>65904.69</v>
      </c>
      <c r="BA56" s="294">
        <v>74150.490000000005</v>
      </c>
      <c r="BB56" s="294">
        <v>0</v>
      </c>
      <c r="BC56" s="294">
        <v>0</v>
      </c>
      <c r="BD56" s="294">
        <v>46572.77</v>
      </c>
      <c r="BE56" s="294">
        <v>3080697.8900000006</v>
      </c>
      <c r="BF56" s="294">
        <v>462765.31000000011</v>
      </c>
      <c r="BG56" s="294">
        <v>-30001.939999999944</v>
      </c>
      <c r="BH56" s="294">
        <v>432763.37000000017</v>
      </c>
      <c r="BI56" s="294">
        <v>8948.2000000000007</v>
      </c>
      <c r="BJ56" s="294">
        <v>0</v>
      </c>
      <c r="BK56" s="294">
        <v>46572.77</v>
      </c>
      <c r="BL56" s="294">
        <v>55520.97</v>
      </c>
      <c r="BM56" s="294">
        <v>0</v>
      </c>
      <c r="BN56" s="294">
        <v>0</v>
      </c>
      <c r="BO56" s="294">
        <v>0</v>
      </c>
      <c r="BP56" s="294">
        <v>61482</v>
      </c>
      <c r="BQ56" s="294">
        <v>61482</v>
      </c>
      <c r="BR56" s="294">
        <v>5961.0299999999988</v>
      </c>
      <c r="BS56" s="294">
        <v>-5961.0299999999988</v>
      </c>
      <c r="BT56" s="294">
        <v>0</v>
      </c>
      <c r="BU56" s="294">
        <v>0</v>
      </c>
      <c r="BV56" s="294">
        <v>0</v>
      </c>
      <c r="BW56" s="294">
        <v>0</v>
      </c>
      <c r="BX56" s="294">
        <v>0</v>
      </c>
      <c r="BY56" s="294">
        <v>0</v>
      </c>
      <c r="BZ56" s="294">
        <v>0</v>
      </c>
      <c r="CA56" s="294">
        <v>0</v>
      </c>
      <c r="CB56" s="294">
        <v>0</v>
      </c>
      <c r="CC56" s="294">
        <v>0</v>
      </c>
      <c r="CD56" s="294">
        <v>432763.37000000017</v>
      </c>
      <c r="CE56" s="294">
        <v>0</v>
      </c>
      <c r="CF56" s="294">
        <v>0</v>
      </c>
      <c r="CG56" s="294">
        <v>0</v>
      </c>
      <c r="CH56" s="294">
        <v>0</v>
      </c>
      <c r="CI56" s="294">
        <f t="shared" si="0"/>
        <v>432763.37000000017</v>
      </c>
      <c r="CJ56" s="294">
        <v>601681.48</v>
      </c>
      <c r="CK56" s="294">
        <v>190432.74</v>
      </c>
      <c r="CL56" s="294">
        <v>0</v>
      </c>
      <c r="CM56" s="294">
        <v>411248.74</v>
      </c>
      <c r="CN56" s="294">
        <v>0</v>
      </c>
      <c r="CO56" s="294">
        <v>0</v>
      </c>
      <c r="CP56" s="294">
        <v>4944.34</v>
      </c>
      <c r="CQ56" s="294">
        <v>0</v>
      </c>
      <c r="CR56" s="294">
        <v>12769.87</v>
      </c>
      <c r="CS56" s="294">
        <v>428962.95</v>
      </c>
      <c r="CT56" s="294">
        <v>0</v>
      </c>
      <c r="CU56" s="294">
        <v>0</v>
      </c>
      <c r="CV56" s="294">
        <v>0</v>
      </c>
      <c r="CW56" s="294">
        <v>0</v>
      </c>
      <c r="CX56" s="294"/>
      <c r="CY56" s="294"/>
      <c r="CZ56" s="294"/>
      <c r="DA56" s="294">
        <v>0</v>
      </c>
      <c r="DB56" s="294">
        <v>0</v>
      </c>
      <c r="DC56" s="294">
        <v>0</v>
      </c>
      <c r="DD56" s="294">
        <v>3800.75</v>
      </c>
      <c r="DE56" s="294">
        <v>0</v>
      </c>
      <c r="DF56" s="294">
        <v>0</v>
      </c>
      <c r="DG56" s="294">
        <v>0</v>
      </c>
      <c r="DH56" s="294">
        <v>0</v>
      </c>
      <c r="DI56" s="294">
        <v>0</v>
      </c>
      <c r="DJ56" s="294">
        <v>0</v>
      </c>
      <c r="DK56" s="294">
        <v>3800.75</v>
      </c>
      <c r="DL56" s="294">
        <v>0</v>
      </c>
      <c r="DM56" s="294">
        <v>0</v>
      </c>
      <c r="DN56" s="294">
        <v>0</v>
      </c>
      <c r="DO56" s="294">
        <v>0</v>
      </c>
      <c r="DP56" s="294">
        <v>0</v>
      </c>
      <c r="DQ56" s="324"/>
      <c r="DR56" s="295">
        <v>2308804.37</v>
      </c>
      <c r="DS56" s="325">
        <v>771893.52000000048</v>
      </c>
      <c r="DT56" s="295">
        <v>76482.34</v>
      </c>
      <c r="DU56" s="295">
        <v>108228.84999999999</v>
      </c>
      <c r="DV56" s="295">
        <v>220264.56</v>
      </c>
      <c r="DW56" s="295">
        <v>0</v>
      </c>
    </row>
    <row r="57" spans="1:127">
      <c r="A57" s="321">
        <v>1802</v>
      </c>
      <c r="B57" s="322" t="s">
        <v>394</v>
      </c>
      <c r="C57" s="321">
        <v>1802</v>
      </c>
      <c r="D57" s="323" t="s">
        <v>817</v>
      </c>
      <c r="E57" s="323" t="s">
        <v>536</v>
      </c>
      <c r="F57" s="323" t="s">
        <v>818</v>
      </c>
      <c r="G57" s="323" t="s">
        <v>800</v>
      </c>
      <c r="H57" s="294">
        <v>652598</v>
      </c>
      <c r="I57" s="294">
        <v>0</v>
      </c>
      <c r="J57" s="294">
        <v>29633</v>
      </c>
      <c r="K57" s="294">
        <v>0</v>
      </c>
      <c r="L57" s="294">
        <v>0</v>
      </c>
      <c r="M57" s="294">
        <v>0</v>
      </c>
      <c r="N57" s="294">
        <v>0</v>
      </c>
      <c r="O57" s="294">
        <v>0</v>
      </c>
      <c r="P57" s="294">
        <v>652</v>
      </c>
      <c r="Q57" s="294">
        <v>0</v>
      </c>
      <c r="R57" s="294">
        <v>0</v>
      </c>
      <c r="S57" s="294">
        <v>0</v>
      </c>
      <c r="T57" s="294">
        <v>20660</v>
      </c>
      <c r="U57" s="294">
        <v>23980</v>
      </c>
      <c r="V57" s="294">
        <v>0</v>
      </c>
      <c r="W57" s="294">
        <v>0</v>
      </c>
      <c r="X57" s="294">
        <v>0</v>
      </c>
      <c r="Y57" s="294">
        <v>727523</v>
      </c>
      <c r="Z57" s="294">
        <v>131645</v>
      </c>
      <c r="AA57" s="294">
        <v>2329</v>
      </c>
      <c r="AB57" s="294">
        <v>230074</v>
      </c>
      <c r="AC57" s="294">
        <v>14553</v>
      </c>
      <c r="AD57" s="294">
        <v>32058</v>
      </c>
      <c r="AE57" s="294">
        <v>0</v>
      </c>
      <c r="AF57" s="294">
        <v>29194</v>
      </c>
      <c r="AG57" s="294">
        <v>1922</v>
      </c>
      <c r="AH57" s="294">
        <v>852</v>
      </c>
      <c r="AI57" s="294">
        <v>2477</v>
      </c>
      <c r="AJ57" s="294">
        <v>0</v>
      </c>
      <c r="AK57" s="294">
        <v>0</v>
      </c>
      <c r="AL57" s="294">
        <v>0</v>
      </c>
      <c r="AM57" s="294">
        <v>3706</v>
      </c>
      <c r="AN57" s="294">
        <v>1015</v>
      </c>
      <c r="AO57" s="294">
        <v>15207</v>
      </c>
      <c r="AP57" s="294">
        <v>0</v>
      </c>
      <c r="AQ57" s="294">
        <v>-6125</v>
      </c>
      <c r="AR57" s="294">
        <v>12637</v>
      </c>
      <c r="AS57" s="294">
        <v>6697</v>
      </c>
      <c r="AT57" s="294">
        <v>0</v>
      </c>
      <c r="AU57" s="294">
        <v>4907</v>
      </c>
      <c r="AV57" s="294">
        <v>3292</v>
      </c>
      <c r="AW57" s="294">
        <v>0</v>
      </c>
      <c r="AX57" s="294">
        <v>6019</v>
      </c>
      <c r="AY57" s="294">
        <v>9038</v>
      </c>
      <c r="AZ57" s="294">
        <v>3000</v>
      </c>
      <c r="BA57" s="294">
        <v>35916</v>
      </c>
      <c r="BB57" s="294">
        <v>0</v>
      </c>
      <c r="BC57" s="294">
        <v>0</v>
      </c>
      <c r="BD57" s="294">
        <v>0</v>
      </c>
      <c r="BE57" s="294">
        <v>540413</v>
      </c>
      <c r="BF57" s="294">
        <v>-119817</v>
      </c>
      <c r="BG57" s="294">
        <v>187110</v>
      </c>
      <c r="BH57" s="294">
        <v>67293</v>
      </c>
      <c r="BI57" s="294">
        <v>4709</v>
      </c>
      <c r="BJ57" s="294">
        <v>0</v>
      </c>
      <c r="BK57" s="294">
        <v>0</v>
      </c>
      <c r="BL57" s="294">
        <v>4709</v>
      </c>
      <c r="BM57" s="294">
        <v>0</v>
      </c>
      <c r="BN57" s="294">
        <v>0</v>
      </c>
      <c r="BO57" s="294">
        <v>0</v>
      </c>
      <c r="BP57" s="294">
        <v>0</v>
      </c>
      <c r="BQ57" s="294">
        <v>0</v>
      </c>
      <c r="BR57" s="294">
        <v>15621</v>
      </c>
      <c r="BS57" s="294">
        <v>4709</v>
      </c>
      <c r="BT57" s="294">
        <v>20329</v>
      </c>
      <c r="BU57" s="294">
        <v>0</v>
      </c>
      <c r="BV57" s="294">
        <v>0</v>
      </c>
      <c r="BW57" s="294">
        <v>0</v>
      </c>
      <c r="BX57" s="294">
        <v>0</v>
      </c>
      <c r="BY57" s="294">
        <v>0</v>
      </c>
      <c r="BZ57" s="294">
        <v>0</v>
      </c>
      <c r="CA57" s="294">
        <v>0</v>
      </c>
      <c r="CB57" s="294">
        <v>0</v>
      </c>
      <c r="CC57" s="294">
        <v>0</v>
      </c>
      <c r="CD57" s="294">
        <v>67293</v>
      </c>
      <c r="CE57" s="294">
        <v>0</v>
      </c>
      <c r="CF57" s="294">
        <v>20329</v>
      </c>
      <c r="CG57" s="294">
        <v>0</v>
      </c>
      <c r="CH57" s="294">
        <v>0</v>
      </c>
      <c r="CI57" s="294">
        <f t="shared" si="0"/>
        <v>87622</v>
      </c>
      <c r="CJ57" s="294">
        <v>0</v>
      </c>
      <c r="CK57" s="294">
        <v>0</v>
      </c>
      <c r="CL57" s="294">
        <v>0</v>
      </c>
      <c r="CM57" s="294">
        <v>0</v>
      </c>
      <c r="CN57" s="294">
        <v>602</v>
      </c>
      <c r="CO57" s="294">
        <v>0</v>
      </c>
      <c r="CP57" s="294">
        <v>0</v>
      </c>
      <c r="CQ57" s="294">
        <v>0</v>
      </c>
      <c r="CR57" s="294">
        <v>0</v>
      </c>
      <c r="CS57" s="294">
        <v>602</v>
      </c>
      <c r="CT57" s="294">
        <v>0</v>
      </c>
      <c r="CU57" s="294">
        <v>0</v>
      </c>
      <c r="CV57" s="294">
        <v>0</v>
      </c>
      <c r="CW57" s="294">
        <v>0</v>
      </c>
      <c r="CX57" s="294"/>
      <c r="CY57" s="294"/>
      <c r="CZ57" s="294"/>
      <c r="DA57" s="294">
        <v>85651</v>
      </c>
      <c r="DB57" s="294">
        <v>85651</v>
      </c>
      <c r="DC57" s="294">
        <v>0</v>
      </c>
      <c r="DD57" s="294">
        <v>4980</v>
      </c>
      <c r="DE57" s="294">
        <v>0</v>
      </c>
      <c r="DF57" s="294">
        <v>0</v>
      </c>
      <c r="DG57" s="294">
        <v>-3611</v>
      </c>
      <c r="DH57" s="294">
        <v>0</v>
      </c>
      <c r="DI57" s="294">
        <v>0</v>
      </c>
      <c r="DJ57" s="294">
        <v>0</v>
      </c>
      <c r="DK57" s="294">
        <v>1369</v>
      </c>
      <c r="DL57" s="294">
        <v>0</v>
      </c>
      <c r="DM57" s="294">
        <v>0</v>
      </c>
      <c r="DN57" s="294">
        <v>0</v>
      </c>
      <c r="DO57" s="294">
        <v>0</v>
      </c>
      <c r="DP57" s="294">
        <v>0</v>
      </c>
      <c r="DQ57" s="324">
        <v>-3.2480299999999998E-10</v>
      </c>
      <c r="DR57" s="295">
        <v>441775</v>
      </c>
      <c r="DS57" s="325">
        <v>98638</v>
      </c>
      <c r="DT57" s="295">
        <v>9038</v>
      </c>
      <c r="DU57" s="295">
        <v>21312</v>
      </c>
      <c r="DV57" s="295">
        <v>23980</v>
      </c>
      <c r="DW57" s="295">
        <v>0</v>
      </c>
    </row>
    <row r="58" spans="1:127">
      <c r="A58" s="321">
        <v>2454</v>
      </c>
      <c r="B58" s="322" t="s">
        <v>491</v>
      </c>
      <c r="C58" s="321">
        <v>2454</v>
      </c>
      <c r="D58" s="323" t="s">
        <v>817</v>
      </c>
      <c r="E58" s="323" t="s">
        <v>539</v>
      </c>
      <c r="F58" s="323" t="s">
        <v>818</v>
      </c>
      <c r="G58" s="323" t="s">
        <v>537</v>
      </c>
      <c r="H58" s="294">
        <v>2490809.15</v>
      </c>
      <c r="I58" s="294">
        <v>0</v>
      </c>
      <c r="J58" s="294">
        <v>81608.740000000005</v>
      </c>
      <c r="K58" s="294">
        <v>0</v>
      </c>
      <c r="L58" s="294">
        <v>338450</v>
      </c>
      <c r="M58" s="294">
        <v>5000</v>
      </c>
      <c r="N58" s="294">
        <v>0</v>
      </c>
      <c r="O58" s="294">
        <v>0</v>
      </c>
      <c r="P58" s="294">
        <v>16749.79</v>
      </c>
      <c r="Q58" s="294">
        <v>5166.8499999999985</v>
      </c>
      <c r="R58" s="294">
        <v>0</v>
      </c>
      <c r="S58" s="294">
        <v>0</v>
      </c>
      <c r="T58" s="294">
        <v>11566.340000000004</v>
      </c>
      <c r="U58" s="294">
        <v>41115.46</v>
      </c>
      <c r="V58" s="294">
        <v>0</v>
      </c>
      <c r="W58" s="294">
        <v>10530.46</v>
      </c>
      <c r="X58" s="294">
        <v>43601</v>
      </c>
      <c r="Y58" s="294">
        <v>3044597.79</v>
      </c>
      <c r="Z58" s="294">
        <v>1329186.98</v>
      </c>
      <c r="AA58" s="294">
        <v>0</v>
      </c>
      <c r="AB58" s="294">
        <v>544662.18999999994</v>
      </c>
      <c r="AC58" s="294">
        <v>0</v>
      </c>
      <c r="AD58" s="294">
        <v>133161.1</v>
      </c>
      <c r="AE58" s="294">
        <v>0</v>
      </c>
      <c r="AF58" s="294">
        <v>52521.169999999518</v>
      </c>
      <c r="AG58" s="294">
        <v>9603.0700000000143</v>
      </c>
      <c r="AH58" s="294">
        <v>5502.9</v>
      </c>
      <c r="AI58" s="294">
        <v>0</v>
      </c>
      <c r="AJ58" s="294">
        <v>0</v>
      </c>
      <c r="AK58" s="294">
        <v>33301.320000000007</v>
      </c>
      <c r="AL58" s="294">
        <v>100</v>
      </c>
      <c r="AM58" s="294">
        <v>69340.210000000006</v>
      </c>
      <c r="AN58" s="294">
        <v>9409</v>
      </c>
      <c r="AO58" s="294">
        <v>34598.499999999993</v>
      </c>
      <c r="AP58" s="294">
        <v>30475.86</v>
      </c>
      <c r="AQ58" s="294">
        <v>112203.09999999999</v>
      </c>
      <c r="AR58" s="294">
        <v>165292.99000000002</v>
      </c>
      <c r="AS58" s="294">
        <v>6534.85</v>
      </c>
      <c r="AT58" s="294">
        <v>0</v>
      </c>
      <c r="AU58" s="294">
        <v>118379.38999999998</v>
      </c>
      <c r="AV58" s="294">
        <v>10121</v>
      </c>
      <c r="AW58" s="294">
        <v>7415</v>
      </c>
      <c r="AX58" s="294">
        <v>80005.86</v>
      </c>
      <c r="AY58" s="294">
        <v>94321.499999999985</v>
      </c>
      <c r="AZ58" s="294">
        <v>170</v>
      </c>
      <c r="BA58" s="294">
        <v>224708.80000000002</v>
      </c>
      <c r="BB58" s="294">
        <v>0</v>
      </c>
      <c r="BC58" s="294">
        <v>0</v>
      </c>
      <c r="BD58" s="294">
        <v>0</v>
      </c>
      <c r="BE58" s="294">
        <v>3071014.7899999996</v>
      </c>
      <c r="BF58" s="294">
        <v>510242.99999999983</v>
      </c>
      <c r="BG58" s="294">
        <v>-26416.999999999534</v>
      </c>
      <c r="BH58" s="294">
        <v>483826.00000000029</v>
      </c>
      <c r="BI58" s="294">
        <v>8214.25</v>
      </c>
      <c r="BJ58" s="294">
        <v>0</v>
      </c>
      <c r="BK58" s="294">
        <v>0</v>
      </c>
      <c r="BL58" s="294">
        <v>8214.25</v>
      </c>
      <c r="BM58" s="294">
        <v>0</v>
      </c>
      <c r="BN58" s="294">
        <v>0</v>
      </c>
      <c r="BO58" s="294">
        <v>0</v>
      </c>
      <c r="BP58" s="294">
        <v>0</v>
      </c>
      <c r="BQ58" s="294">
        <v>0</v>
      </c>
      <c r="BR58" s="294">
        <v>8433</v>
      </c>
      <c r="BS58" s="294">
        <v>8214.25</v>
      </c>
      <c r="BT58" s="294">
        <v>16647.25</v>
      </c>
      <c r="BU58" s="294">
        <v>0</v>
      </c>
      <c r="BV58" s="294">
        <v>0</v>
      </c>
      <c r="BW58" s="294">
        <v>0</v>
      </c>
      <c r="BX58" s="294">
        <v>0</v>
      </c>
      <c r="BY58" s="294">
        <v>0</v>
      </c>
      <c r="BZ58" s="294">
        <v>0</v>
      </c>
      <c r="CA58" s="294">
        <v>0</v>
      </c>
      <c r="CB58" s="294">
        <v>0</v>
      </c>
      <c r="CC58" s="294">
        <v>0</v>
      </c>
      <c r="CD58" s="294">
        <v>483826</v>
      </c>
      <c r="CE58" s="294">
        <v>0</v>
      </c>
      <c r="CF58" s="294">
        <v>16647.25</v>
      </c>
      <c r="CG58" s="294">
        <v>0</v>
      </c>
      <c r="CH58" s="294">
        <v>0</v>
      </c>
      <c r="CI58" s="294">
        <f t="shared" si="0"/>
        <v>500473.25</v>
      </c>
      <c r="CJ58" s="294">
        <v>715039.42</v>
      </c>
      <c r="CK58" s="294">
        <v>58727.839999999997</v>
      </c>
      <c r="CL58" s="294">
        <v>0</v>
      </c>
      <c r="CM58" s="294">
        <v>656311.58000000007</v>
      </c>
      <c r="CN58" s="294">
        <v>7.45</v>
      </c>
      <c r="CO58" s="294">
        <v>0</v>
      </c>
      <c r="CP58" s="294">
        <v>16105.49</v>
      </c>
      <c r="CQ58" s="294">
        <v>5297.47</v>
      </c>
      <c r="CR58" s="294">
        <v>-39702.459999999963</v>
      </c>
      <c r="CS58" s="294">
        <v>638019.53</v>
      </c>
      <c r="CT58" s="294">
        <v>0</v>
      </c>
      <c r="CU58" s="294">
        <v>0</v>
      </c>
      <c r="CV58" s="294">
        <v>0</v>
      </c>
      <c r="CW58" s="294">
        <v>0</v>
      </c>
      <c r="CX58" s="294"/>
      <c r="CY58" s="294"/>
      <c r="CZ58" s="294"/>
      <c r="DA58" s="294">
        <v>0</v>
      </c>
      <c r="DB58" s="294">
        <v>0</v>
      </c>
      <c r="DC58" s="294">
        <v>0</v>
      </c>
      <c r="DD58" s="294">
        <v>15974.12</v>
      </c>
      <c r="DE58" s="294">
        <v>0</v>
      </c>
      <c r="DF58" s="294">
        <v>0</v>
      </c>
      <c r="DG58" s="294">
        <v>-21817.39</v>
      </c>
      <c r="DH58" s="294">
        <v>-70314.92</v>
      </c>
      <c r="DI58" s="294">
        <v>0</v>
      </c>
      <c r="DJ58" s="294">
        <v>0</v>
      </c>
      <c r="DK58" s="294">
        <v>-5843.2699999999986</v>
      </c>
      <c r="DL58" s="294">
        <v>0</v>
      </c>
      <c r="DM58" s="294">
        <v>0</v>
      </c>
      <c r="DN58" s="294">
        <v>-250</v>
      </c>
      <c r="DO58" s="294">
        <v>-100841</v>
      </c>
      <c r="DP58" s="294">
        <v>0</v>
      </c>
      <c r="DQ58" s="324">
        <v>-30612.010000000009</v>
      </c>
      <c r="DR58" s="295">
        <v>-30612.010000000038</v>
      </c>
      <c r="DS58" s="325"/>
      <c r="DT58" s="295"/>
      <c r="DU58" s="295"/>
      <c r="DV58" s="295"/>
      <c r="DW58" s="295">
        <v>-101091</v>
      </c>
    </row>
    <row r="59" spans="1:127">
      <c r="A59" s="321">
        <v>3321</v>
      </c>
      <c r="B59" s="322" t="s">
        <v>492</v>
      </c>
      <c r="C59" s="321">
        <v>3321</v>
      </c>
      <c r="D59" s="323" t="s">
        <v>817</v>
      </c>
      <c r="E59" s="323" t="s">
        <v>539</v>
      </c>
      <c r="F59" s="323" t="s">
        <v>818</v>
      </c>
      <c r="G59" s="323" t="s">
        <v>537</v>
      </c>
      <c r="H59" s="294">
        <v>2069498.55</v>
      </c>
      <c r="I59" s="294">
        <v>0</v>
      </c>
      <c r="J59" s="294">
        <v>104150.85</v>
      </c>
      <c r="K59" s="294">
        <v>0</v>
      </c>
      <c r="L59" s="294">
        <v>214210</v>
      </c>
      <c r="M59" s="294">
        <v>8056.93</v>
      </c>
      <c r="N59" s="294">
        <v>0</v>
      </c>
      <c r="O59" s="294">
        <v>0</v>
      </c>
      <c r="P59" s="294">
        <v>28805.299999999996</v>
      </c>
      <c r="Q59" s="294">
        <v>0</v>
      </c>
      <c r="R59" s="294">
        <v>0</v>
      </c>
      <c r="S59" s="294">
        <v>0</v>
      </c>
      <c r="T59" s="294">
        <v>4438.6200000000008</v>
      </c>
      <c r="U59" s="294">
        <v>4950.390000000014</v>
      </c>
      <c r="V59" s="294">
        <v>0</v>
      </c>
      <c r="W59" s="294">
        <v>2833.13</v>
      </c>
      <c r="X59" s="294">
        <v>59241</v>
      </c>
      <c r="Y59" s="294">
        <v>2496184.77</v>
      </c>
      <c r="Z59" s="294">
        <v>1029614.2600000013</v>
      </c>
      <c r="AA59" s="294">
        <v>0</v>
      </c>
      <c r="AB59" s="294">
        <v>425038.67</v>
      </c>
      <c r="AC59" s="294">
        <v>62199.90000000078</v>
      </c>
      <c r="AD59" s="294">
        <v>100726.22</v>
      </c>
      <c r="AE59" s="294">
        <v>0</v>
      </c>
      <c r="AF59" s="294">
        <v>29826.73999999935</v>
      </c>
      <c r="AG59" s="294">
        <v>1.6370904631912708E-11</v>
      </c>
      <c r="AH59" s="294">
        <v>10758.26</v>
      </c>
      <c r="AI59" s="294">
        <v>0</v>
      </c>
      <c r="AJ59" s="294">
        <v>0</v>
      </c>
      <c r="AK59" s="294">
        <v>58068.619999999995</v>
      </c>
      <c r="AL59" s="294">
        <v>8539</v>
      </c>
      <c r="AM59" s="294">
        <v>17594.16</v>
      </c>
      <c r="AN59" s="294">
        <v>3079.39</v>
      </c>
      <c r="AO59" s="294">
        <v>45701.89</v>
      </c>
      <c r="AP59" s="294">
        <v>3815.97</v>
      </c>
      <c r="AQ59" s="294">
        <v>11280.21</v>
      </c>
      <c r="AR59" s="294">
        <v>130742.96000000009</v>
      </c>
      <c r="AS59" s="294">
        <v>14001.959999999992</v>
      </c>
      <c r="AT59" s="294">
        <v>0</v>
      </c>
      <c r="AU59" s="294">
        <v>3283.18</v>
      </c>
      <c r="AV59" s="294">
        <v>15576.34</v>
      </c>
      <c r="AW59" s="294">
        <v>3275</v>
      </c>
      <c r="AX59" s="294">
        <v>97035.693999999989</v>
      </c>
      <c r="AY59" s="294">
        <v>201909.24999999994</v>
      </c>
      <c r="AZ59" s="294">
        <v>39192.26</v>
      </c>
      <c r="BA59" s="294">
        <v>75850.959999999992</v>
      </c>
      <c r="BB59" s="294">
        <v>0</v>
      </c>
      <c r="BC59" s="294">
        <v>0</v>
      </c>
      <c r="BD59" s="294">
        <v>0</v>
      </c>
      <c r="BE59" s="294">
        <v>2387110.8940000008</v>
      </c>
      <c r="BF59" s="294">
        <v>238037.67000000013</v>
      </c>
      <c r="BG59" s="294">
        <v>109073.87599999923</v>
      </c>
      <c r="BH59" s="294">
        <v>347111.54599999939</v>
      </c>
      <c r="BI59" s="294">
        <v>0</v>
      </c>
      <c r="BJ59" s="294">
        <v>0</v>
      </c>
      <c r="BK59" s="294">
        <v>0</v>
      </c>
      <c r="BL59" s="294">
        <v>0</v>
      </c>
      <c r="BM59" s="294">
        <v>0</v>
      </c>
      <c r="BN59" s="294">
        <v>0</v>
      </c>
      <c r="BO59" s="294">
        <v>0</v>
      </c>
      <c r="BP59" s="294">
        <v>0</v>
      </c>
      <c r="BQ59" s="294">
        <v>0</v>
      </c>
      <c r="BR59" s="294">
        <v>0</v>
      </c>
      <c r="BS59" s="294">
        <v>0</v>
      </c>
      <c r="BT59" s="294">
        <v>0</v>
      </c>
      <c r="BU59" s="294">
        <v>0</v>
      </c>
      <c r="BV59" s="294">
        <v>0</v>
      </c>
      <c r="BW59" s="294">
        <v>0</v>
      </c>
      <c r="BX59" s="294">
        <v>0</v>
      </c>
      <c r="BY59" s="294">
        <v>0</v>
      </c>
      <c r="BZ59" s="294">
        <v>0</v>
      </c>
      <c r="CA59" s="294">
        <v>0</v>
      </c>
      <c r="CB59" s="294">
        <v>0</v>
      </c>
      <c r="CC59" s="294">
        <v>0</v>
      </c>
      <c r="CD59" s="294">
        <v>347111.54599999939</v>
      </c>
      <c r="CE59" s="294">
        <v>0</v>
      </c>
      <c r="CF59" s="294">
        <v>0</v>
      </c>
      <c r="CG59" s="294">
        <v>0</v>
      </c>
      <c r="CH59" s="294">
        <v>0</v>
      </c>
      <c r="CI59" s="294">
        <f t="shared" si="0"/>
        <v>347111.54599999939</v>
      </c>
      <c r="CJ59" s="294">
        <v>601391.44999999995</v>
      </c>
      <c r="CK59" s="294">
        <v>1896.2</v>
      </c>
      <c r="CL59" s="294">
        <v>0</v>
      </c>
      <c r="CM59" s="294">
        <v>599495.25</v>
      </c>
      <c r="CN59" s="294">
        <v>0</v>
      </c>
      <c r="CO59" s="294">
        <v>0</v>
      </c>
      <c r="CP59" s="294">
        <v>9412.2900000000009</v>
      </c>
      <c r="CQ59" s="294">
        <v>0</v>
      </c>
      <c r="CR59" s="294">
        <v>-221535.92</v>
      </c>
      <c r="CS59" s="294">
        <v>387371.62</v>
      </c>
      <c r="CT59" s="294">
        <v>0</v>
      </c>
      <c r="CU59" s="294">
        <v>0</v>
      </c>
      <c r="CV59" s="294">
        <v>0</v>
      </c>
      <c r="CW59" s="294">
        <v>0</v>
      </c>
      <c r="CX59" s="294"/>
      <c r="CY59" s="294"/>
      <c r="CZ59" s="294"/>
      <c r="DA59" s="294">
        <v>0</v>
      </c>
      <c r="DB59" s="294">
        <v>0</v>
      </c>
      <c r="DC59" s="294">
        <v>0</v>
      </c>
      <c r="DD59" s="294">
        <v>7599.38</v>
      </c>
      <c r="DE59" s="294">
        <v>0</v>
      </c>
      <c r="DF59" s="294">
        <v>0</v>
      </c>
      <c r="DG59" s="294">
        <v>-8023.91</v>
      </c>
      <c r="DH59" s="294">
        <v>-39835.453999999998</v>
      </c>
      <c r="DI59" s="294">
        <v>0</v>
      </c>
      <c r="DJ59" s="294">
        <v>0</v>
      </c>
      <c r="DK59" s="294">
        <v>-40259.983999999997</v>
      </c>
      <c r="DL59" s="294">
        <v>0</v>
      </c>
      <c r="DM59" s="294">
        <v>0</v>
      </c>
      <c r="DN59" s="294">
        <v>0</v>
      </c>
      <c r="DO59" s="294">
        <v>0</v>
      </c>
      <c r="DP59" s="294">
        <v>0</v>
      </c>
      <c r="DQ59" s="324">
        <v>-8.999999996740371E-2</v>
      </c>
      <c r="DR59" s="295">
        <v>1647405.7900000014</v>
      </c>
      <c r="DS59" s="325">
        <v>739705.10399999935</v>
      </c>
      <c r="DT59" s="295">
        <v>201909.24999999994</v>
      </c>
      <c r="DU59" s="295">
        <v>33243.919999999998</v>
      </c>
      <c r="DV59" s="295">
        <v>4950.390000000014</v>
      </c>
      <c r="DW59" s="295">
        <v>0</v>
      </c>
    </row>
    <row r="60" spans="1:127">
      <c r="A60" s="321">
        <v>1026</v>
      </c>
      <c r="B60" s="322" t="s">
        <v>410</v>
      </c>
      <c r="C60" s="321">
        <v>1026</v>
      </c>
      <c r="D60" s="323" t="s">
        <v>817</v>
      </c>
      <c r="E60" s="323" t="s">
        <v>536</v>
      </c>
      <c r="F60" s="323" t="s">
        <v>818</v>
      </c>
      <c r="G60" s="323" t="s">
        <v>537</v>
      </c>
      <c r="H60" s="294">
        <v>800925</v>
      </c>
      <c r="I60" s="294">
        <v>0</v>
      </c>
      <c r="J60" s="294">
        <v>24481</v>
      </c>
      <c r="K60" s="294">
        <v>0</v>
      </c>
      <c r="L60" s="294">
        <v>0</v>
      </c>
      <c r="M60" s="294">
        <v>0</v>
      </c>
      <c r="N60" s="294">
        <v>135724</v>
      </c>
      <c r="O60" s="294">
        <v>24356</v>
      </c>
      <c r="P60" s="294">
        <v>7253</v>
      </c>
      <c r="Q60" s="294">
        <v>0</v>
      </c>
      <c r="R60" s="294">
        <v>0</v>
      </c>
      <c r="S60" s="294">
        <v>0</v>
      </c>
      <c r="T60" s="294">
        <v>22228</v>
      </c>
      <c r="U60" s="294">
        <v>34918</v>
      </c>
      <c r="V60" s="294">
        <v>0</v>
      </c>
      <c r="W60" s="294">
        <v>0</v>
      </c>
      <c r="X60" s="294">
        <v>0</v>
      </c>
      <c r="Y60" s="294">
        <v>1049885</v>
      </c>
      <c r="Z60" s="294">
        <v>137633</v>
      </c>
      <c r="AA60" s="294">
        <v>0</v>
      </c>
      <c r="AB60" s="294">
        <v>294234</v>
      </c>
      <c r="AC60" s="294">
        <v>26902</v>
      </c>
      <c r="AD60" s="294">
        <v>70418</v>
      </c>
      <c r="AE60" s="294">
        <v>0</v>
      </c>
      <c r="AF60" s="294">
        <v>-31869</v>
      </c>
      <c r="AG60" s="294">
        <v>2519</v>
      </c>
      <c r="AH60" s="294">
        <v>0</v>
      </c>
      <c r="AI60" s="294">
        <v>0</v>
      </c>
      <c r="AJ60" s="294">
        <v>0</v>
      </c>
      <c r="AK60" s="294">
        <v>24831</v>
      </c>
      <c r="AL60" s="294">
        <v>22</v>
      </c>
      <c r="AM60" s="294">
        <v>2277</v>
      </c>
      <c r="AN60" s="294">
        <v>5704</v>
      </c>
      <c r="AO60" s="294">
        <v>18753</v>
      </c>
      <c r="AP60" s="294">
        <v>0</v>
      </c>
      <c r="AQ60" s="294">
        <v>22917</v>
      </c>
      <c r="AR60" s="294">
        <v>15112</v>
      </c>
      <c r="AS60" s="294">
        <v>0</v>
      </c>
      <c r="AT60" s="294">
        <v>0</v>
      </c>
      <c r="AU60" s="294">
        <v>174507</v>
      </c>
      <c r="AV60" s="294">
        <v>3292</v>
      </c>
      <c r="AW60" s="294">
        <v>0</v>
      </c>
      <c r="AX60" s="294">
        <v>18411</v>
      </c>
      <c r="AY60" s="294">
        <v>70230</v>
      </c>
      <c r="AZ60" s="294">
        <v>380</v>
      </c>
      <c r="BA60" s="294">
        <v>40277</v>
      </c>
      <c r="BB60" s="294">
        <v>0</v>
      </c>
      <c r="BC60" s="294">
        <v>0</v>
      </c>
      <c r="BD60" s="294">
        <v>0</v>
      </c>
      <c r="BE60" s="294">
        <v>896551</v>
      </c>
      <c r="BF60" s="294">
        <v>201529</v>
      </c>
      <c r="BG60" s="294">
        <v>153334</v>
      </c>
      <c r="BH60" s="294">
        <v>354863</v>
      </c>
      <c r="BI60" s="294">
        <v>17313</v>
      </c>
      <c r="BJ60" s="294">
        <v>0</v>
      </c>
      <c r="BK60" s="294">
        <v>0</v>
      </c>
      <c r="BL60" s="294">
        <v>17313</v>
      </c>
      <c r="BM60" s="294">
        <v>0</v>
      </c>
      <c r="BN60" s="294">
        <v>0</v>
      </c>
      <c r="BO60" s="294">
        <v>0</v>
      </c>
      <c r="BP60" s="294">
        <v>0</v>
      </c>
      <c r="BQ60" s="294">
        <v>0</v>
      </c>
      <c r="BR60" s="294">
        <v>0</v>
      </c>
      <c r="BS60" s="294">
        <v>17313</v>
      </c>
      <c r="BT60" s="294">
        <v>17313</v>
      </c>
      <c r="BU60" s="294">
        <v>0</v>
      </c>
      <c r="BV60" s="294">
        <v>0</v>
      </c>
      <c r="BW60" s="294">
        <v>0</v>
      </c>
      <c r="BX60" s="294">
        <v>0</v>
      </c>
      <c r="BY60" s="294">
        <v>0</v>
      </c>
      <c r="BZ60" s="294">
        <v>0</v>
      </c>
      <c r="CA60" s="294">
        <v>0</v>
      </c>
      <c r="CB60" s="294">
        <v>0</v>
      </c>
      <c r="CC60" s="294">
        <v>0</v>
      </c>
      <c r="CD60" s="294">
        <v>354863</v>
      </c>
      <c r="CE60" s="294">
        <v>0</v>
      </c>
      <c r="CF60" s="294">
        <v>17313</v>
      </c>
      <c r="CG60" s="294">
        <v>0</v>
      </c>
      <c r="CH60" s="294">
        <v>0</v>
      </c>
      <c r="CI60" s="294">
        <f t="shared" si="0"/>
        <v>372176</v>
      </c>
      <c r="CJ60" s="294">
        <v>210818</v>
      </c>
      <c r="CK60" s="294">
        <v>0</v>
      </c>
      <c r="CL60" s="294">
        <v>0</v>
      </c>
      <c r="CM60" s="294">
        <v>210818</v>
      </c>
      <c r="CN60" s="294">
        <v>8530</v>
      </c>
      <c r="CO60" s="294">
        <v>0</v>
      </c>
      <c r="CP60" s="294">
        <v>1582</v>
      </c>
      <c r="CQ60" s="294">
        <v>19</v>
      </c>
      <c r="CR60" s="294">
        <v>0</v>
      </c>
      <c r="CS60" s="294">
        <v>220949</v>
      </c>
      <c r="CT60" s="294">
        <v>50019</v>
      </c>
      <c r="CU60" s="294">
        <v>0</v>
      </c>
      <c r="CV60" s="294">
        <v>0</v>
      </c>
      <c r="CW60" s="294">
        <v>50019</v>
      </c>
      <c r="CX60" s="294"/>
      <c r="CY60" s="294"/>
      <c r="CZ60" s="294"/>
      <c r="DA60" s="294">
        <v>0</v>
      </c>
      <c r="DB60" s="294">
        <v>50019</v>
      </c>
      <c r="DC60" s="294">
        <v>0</v>
      </c>
      <c r="DD60" s="294">
        <v>7232</v>
      </c>
      <c r="DE60" s="294">
        <v>0</v>
      </c>
      <c r="DF60" s="294">
        <v>0</v>
      </c>
      <c r="DG60" s="294">
        <v>0</v>
      </c>
      <c r="DH60" s="294">
        <v>0</v>
      </c>
      <c r="DI60" s="294">
        <v>0</v>
      </c>
      <c r="DJ60" s="294">
        <v>0</v>
      </c>
      <c r="DK60" s="294">
        <v>7232</v>
      </c>
      <c r="DL60" s="294">
        <v>1601</v>
      </c>
      <c r="DM60" s="294">
        <v>94663</v>
      </c>
      <c r="DN60" s="294">
        <v>-2287</v>
      </c>
      <c r="DO60" s="294">
        <v>0</v>
      </c>
      <c r="DP60" s="294">
        <v>0</v>
      </c>
      <c r="DQ60" s="324">
        <v>-0.37</v>
      </c>
      <c r="DR60" s="295">
        <v>499837</v>
      </c>
      <c r="DS60" s="325">
        <v>396714</v>
      </c>
      <c r="DT60" s="295">
        <v>70230</v>
      </c>
      <c r="DU60" s="295">
        <v>53837</v>
      </c>
      <c r="DV60" s="295">
        <v>34918</v>
      </c>
      <c r="DW60" s="295">
        <v>93977</v>
      </c>
    </row>
    <row r="61" spans="1:127">
      <c r="A61" s="321">
        <v>2294</v>
      </c>
      <c r="B61" s="322" t="s">
        <v>411</v>
      </c>
      <c r="C61" s="321">
        <v>2294</v>
      </c>
      <c r="D61" s="323" t="s">
        <v>817</v>
      </c>
      <c r="E61" s="323" t="s">
        <v>539</v>
      </c>
      <c r="F61" s="323" t="s">
        <v>818</v>
      </c>
      <c r="G61" s="323" t="s">
        <v>537</v>
      </c>
      <c r="H61" s="294">
        <v>2461218</v>
      </c>
      <c r="I61" s="294">
        <v>0</v>
      </c>
      <c r="J61" s="294">
        <v>193696</v>
      </c>
      <c r="K61" s="294">
        <v>0</v>
      </c>
      <c r="L61" s="294">
        <v>279720</v>
      </c>
      <c r="M61" s="294">
        <v>9828</v>
      </c>
      <c r="N61" s="294">
        <v>0</v>
      </c>
      <c r="O61" s="294">
        <v>0</v>
      </c>
      <c r="P61" s="294">
        <v>29749</v>
      </c>
      <c r="Q61" s="294">
        <v>16056</v>
      </c>
      <c r="R61" s="294">
        <v>0</v>
      </c>
      <c r="S61" s="294">
        <v>0</v>
      </c>
      <c r="T61" s="294">
        <v>4675</v>
      </c>
      <c r="U61" s="294">
        <v>0</v>
      </c>
      <c r="V61" s="294">
        <v>0</v>
      </c>
      <c r="W61" s="294">
        <v>7050</v>
      </c>
      <c r="X61" s="294">
        <v>66098</v>
      </c>
      <c r="Y61" s="294">
        <v>3068090</v>
      </c>
      <c r="Z61" s="294">
        <v>1136356</v>
      </c>
      <c r="AA61" s="294">
        <v>0</v>
      </c>
      <c r="AB61" s="294">
        <v>432628</v>
      </c>
      <c r="AC61" s="294">
        <v>91035</v>
      </c>
      <c r="AD61" s="294">
        <v>148872</v>
      </c>
      <c r="AE61" s="294">
        <v>0</v>
      </c>
      <c r="AF61" s="294">
        <v>57875</v>
      </c>
      <c r="AG61" s="294">
        <v>-1154</v>
      </c>
      <c r="AH61" s="294">
        <v>8336</v>
      </c>
      <c r="AI61" s="294">
        <v>0</v>
      </c>
      <c r="AJ61" s="294">
        <v>0</v>
      </c>
      <c r="AK61" s="294">
        <v>26521</v>
      </c>
      <c r="AL61" s="294">
        <v>1800</v>
      </c>
      <c r="AM61" s="294">
        <v>14926</v>
      </c>
      <c r="AN61" s="294">
        <v>2463</v>
      </c>
      <c r="AO61" s="294">
        <v>46138</v>
      </c>
      <c r="AP61" s="294">
        <v>28090</v>
      </c>
      <c r="AQ61" s="294">
        <v>44556</v>
      </c>
      <c r="AR61" s="294">
        <v>100628</v>
      </c>
      <c r="AS61" s="294">
        <v>3427</v>
      </c>
      <c r="AT61" s="294">
        <v>0</v>
      </c>
      <c r="AU61" s="294">
        <v>27177</v>
      </c>
      <c r="AV61" s="294">
        <v>11095</v>
      </c>
      <c r="AW61" s="294">
        <v>10058</v>
      </c>
      <c r="AX61" s="294">
        <v>156873.07</v>
      </c>
      <c r="AY61" s="294">
        <v>217011</v>
      </c>
      <c r="AZ61" s="294">
        <v>29341</v>
      </c>
      <c r="BA61" s="294">
        <v>388572</v>
      </c>
      <c r="BB61" s="294">
        <v>0</v>
      </c>
      <c r="BC61" s="294">
        <v>0</v>
      </c>
      <c r="BD61" s="294">
        <v>0</v>
      </c>
      <c r="BE61" s="294">
        <v>2982623.07</v>
      </c>
      <c r="BF61" s="294">
        <v>539386</v>
      </c>
      <c r="BG61" s="294">
        <v>85466.930000000168</v>
      </c>
      <c r="BH61" s="294">
        <v>624852.93000000017</v>
      </c>
      <c r="BI61" s="294">
        <v>8691</v>
      </c>
      <c r="BJ61" s="294">
        <v>0</v>
      </c>
      <c r="BK61" s="294">
        <v>0</v>
      </c>
      <c r="BL61" s="294">
        <v>8691</v>
      </c>
      <c r="BM61" s="294">
        <v>0</v>
      </c>
      <c r="BN61" s="294">
        <v>0</v>
      </c>
      <c r="BO61" s="294">
        <v>0</v>
      </c>
      <c r="BP61" s="294">
        <v>0</v>
      </c>
      <c r="BQ61" s="294">
        <v>0</v>
      </c>
      <c r="BR61" s="294">
        <v>4828</v>
      </c>
      <c r="BS61" s="294">
        <v>8691</v>
      </c>
      <c r="BT61" s="294">
        <v>13520</v>
      </c>
      <c r="BU61" s="294">
        <v>0</v>
      </c>
      <c r="BV61" s="294">
        <v>0</v>
      </c>
      <c r="BW61" s="294">
        <v>0</v>
      </c>
      <c r="BX61" s="294">
        <v>0</v>
      </c>
      <c r="BY61" s="294">
        <v>0</v>
      </c>
      <c r="BZ61" s="294">
        <v>0</v>
      </c>
      <c r="CA61" s="294">
        <v>0</v>
      </c>
      <c r="CB61" s="294">
        <v>0</v>
      </c>
      <c r="CC61" s="294">
        <v>0</v>
      </c>
      <c r="CD61" s="294">
        <v>624852.93000000017</v>
      </c>
      <c r="CE61" s="294">
        <v>0</v>
      </c>
      <c r="CF61" s="294">
        <v>13520</v>
      </c>
      <c r="CG61" s="294">
        <v>0</v>
      </c>
      <c r="CH61" s="294">
        <v>0</v>
      </c>
      <c r="CI61" s="294">
        <f t="shared" si="0"/>
        <v>638372.93000000017</v>
      </c>
      <c r="CJ61" s="294">
        <v>801800</v>
      </c>
      <c r="CK61" s="294">
        <v>0</v>
      </c>
      <c r="CL61" s="294">
        <v>0</v>
      </c>
      <c r="CM61" s="294">
        <v>801800</v>
      </c>
      <c r="CN61" s="294">
        <v>0</v>
      </c>
      <c r="CO61" s="294">
        <v>0</v>
      </c>
      <c r="CP61" s="294">
        <v>10407</v>
      </c>
      <c r="CQ61" s="294">
        <v>18362</v>
      </c>
      <c r="CR61" s="294">
        <v>576</v>
      </c>
      <c r="CS61" s="294">
        <v>831146</v>
      </c>
      <c r="CT61" s="294">
        <v>0</v>
      </c>
      <c r="CU61" s="294">
        <v>0</v>
      </c>
      <c r="CV61" s="294">
        <v>0</v>
      </c>
      <c r="CW61" s="294">
        <v>0</v>
      </c>
      <c r="CX61" s="294"/>
      <c r="CY61" s="294"/>
      <c r="CZ61" s="294"/>
      <c r="DA61" s="294">
        <v>0</v>
      </c>
      <c r="DB61" s="294">
        <v>0</v>
      </c>
      <c r="DC61" s="294">
        <v>0</v>
      </c>
      <c r="DD61" s="294">
        <v>19188.72</v>
      </c>
      <c r="DE61" s="294">
        <v>0</v>
      </c>
      <c r="DF61" s="294">
        <v>0</v>
      </c>
      <c r="DG61" s="294">
        <v>0</v>
      </c>
      <c r="DH61" s="294">
        <v>-38095.07</v>
      </c>
      <c r="DI61" s="294">
        <v>0</v>
      </c>
      <c r="DJ61" s="294">
        <v>0</v>
      </c>
      <c r="DK61" s="294">
        <v>-18906.349999999999</v>
      </c>
      <c r="DL61" s="294">
        <v>0</v>
      </c>
      <c r="DM61" s="294">
        <v>0</v>
      </c>
      <c r="DN61" s="294">
        <v>-525</v>
      </c>
      <c r="DO61" s="294">
        <v>-173343</v>
      </c>
      <c r="DP61" s="294">
        <v>0</v>
      </c>
      <c r="DQ61" s="324">
        <v>0.09</v>
      </c>
      <c r="DR61" s="295">
        <v>1865612</v>
      </c>
      <c r="DS61" s="325">
        <v>1117011.0699999998</v>
      </c>
      <c r="DT61" s="295">
        <v>217011</v>
      </c>
      <c r="DU61" s="295">
        <v>50480</v>
      </c>
      <c r="DV61" s="295">
        <v>0</v>
      </c>
      <c r="DW61" s="295">
        <v>-173868</v>
      </c>
    </row>
    <row r="62" spans="1:127">
      <c r="A62" s="321">
        <v>2486</v>
      </c>
      <c r="B62" s="322" t="s">
        <v>351</v>
      </c>
      <c r="C62" s="321">
        <v>2486</v>
      </c>
      <c r="D62" s="323" t="s">
        <v>817</v>
      </c>
      <c r="E62" s="323" t="s">
        <v>539</v>
      </c>
      <c r="F62" s="323" t="s">
        <v>818</v>
      </c>
      <c r="G62" s="323" t="s">
        <v>537</v>
      </c>
      <c r="H62" s="294">
        <v>1454335.95</v>
      </c>
      <c r="I62" s="294">
        <v>0</v>
      </c>
      <c r="J62" s="294">
        <v>111650.58</v>
      </c>
      <c r="K62" s="294">
        <v>0</v>
      </c>
      <c r="L62" s="294">
        <v>207960</v>
      </c>
      <c r="M62" s="294">
        <v>0</v>
      </c>
      <c r="N62" s="294">
        <v>0</v>
      </c>
      <c r="O62" s="294">
        <v>200</v>
      </c>
      <c r="P62" s="294">
        <v>8195.76</v>
      </c>
      <c r="Q62" s="294">
        <v>4360.3999999999996</v>
      </c>
      <c r="R62" s="294">
        <v>0</v>
      </c>
      <c r="S62" s="294">
        <v>0</v>
      </c>
      <c r="T62" s="294">
        <v>2506</v>
      </c>
      <c r="U62" s="294">
        <v>11806.67</v>
      </c>
      <c r="V62" s="294">
        <v>0</v>
      </c>
      <c r="W62" s="294">
        <v>5844.25</v>
      </c>
      <c r="X62" s="294">
        <v>30554</v>
      </c>
      <c r="Y62" s="294">
        <v>1837413.6099999999</v>
      </c>
      <c r="Z62" s="294">
        <v>708072.24</v>
      </c>
      <c r="AA62" s="294">
        <v>0</v>
      </c>
      <c r="AB62" s="294">
        <v>408139.72</v>
      </c>
      <c r="AC62" s="294">
        <v>78119.350000000006</v>
      </c>
      <c r="AD62" s="294">
        <v>102318.94</v>
      </c>
      <c r="AE62" s="294">
        <v>78088.240000000005</v>
      </c>
      <c r="AF62" s="294">
        <v>52328.21</v>
      </c>
      <c r="AG62" s="294">
        <v>3000.16</v>
      </c>
      <c r="AH62" s="294">
        <v>5947</v>
      </c>
      <c r="AI62" s="294">
        <v>0</v>
      </c>
      <c r="AJ62" s="294">
        <v>0</v>
      </c>
      <c r="AK62" s="294">
        <v>21990.63</v>
      </c>
      <c r="AL62" s="294">
        <v>3562.1</v>
      </c>
      <c r="AM62" s="294">
        <v>3713.74</v>
      </c>
      <c r="AN62" s="294">
        <v>4200.24</v>
      </c>
      <c r="AO62" s="294">
        <v>61286.31</v>
      </c>
      <c r="AP62" s="294">
        <v>14979.66</v>
      </c>
      <c r="AQ62" s="294">
        <v>25972.1</v>
      </c>
      <c r="AR62" s="294">
        <v>41118.5</v>
      </c>
      <c r="AS62" s="294">
        <v>8260.23</v>
      </c>
      <c r="AT62" s="294">
        <v>0</v>
      </c>
      <c r="AU62" s="294">
        <v>11227.33</v>
      </c>
      <c r="AV62" s="294">
        <v>4925</v>
      </c>
      <c r="AW62" s="294">
        <v>0</v>
      </c>
      <c r="AX62" s="294">
        <v>40315.81</v>
      </c>
      <c r="AY62" s="294">
        <v>88841.85</v>
      </c>
      <c r="AZ62" s="294">
        <v>33073.46</v>
      </c>
      <c r="BA62" s="294">
        <v>67909.75</v>
      </c>
      <c r="BB62" s="294">
        <v>0</v>
      </c>
      <c r="BC62" s="294">
        <v>0</v>
      </c>
      <c r="BD62" s="294">
        <v>0</v>
      </c>
      <c r="BE62" s="294">
        <v>1867390.57</v>
      </c>
      <c r="BF62" s="294">
        <v>309284.0700000003</v>
      </c>
      <c r="BG62" s="294">
        <v>-29976.960000000196</v>
      </c>
      <c r="BH62" s="294">
        <v>279307.1100000001</v>
      </c>
      <c r="BI62" s="294">
        <v>6295</v>
      </c>
      <c r="BJ62" s="294">
        <v>0</v>
      </c>
      <c r="BK62" s="294">
        <v>0</v>
      </c>
      <c r="BL62" s="294">
        <v>6295</v>
      </c>
      <c r="BM62" s="294">
        <v>0</v>
      </c>
      <c r="BN62" s="294">
        <v>0</v>
      </c>
      <c r="BO62" s="294">
        <v>0</v>
      </c>
      <c r="BP62" s="294">
        <v>6870.5</v>
      </c>
      <c r="BQ62" s="294">
        <v>6870.5</v>
      </c>
      <c r="BR62" s="294">
        <v>5540.7000000000007</v>
      </c>
      <c r="BS62" s="294">
        <v>-575.5</v>
      </c>
      <c r="BT62" s="294">
        <v>4965.2000000000007</v>
      </c>
      <c r="BU62" s="294">
        <v>0</v>
      </c>
      <c r="BV62" s="294">
        <v>0</v>
      </c>
      <c r="BW62" s="294">
        <v>0</v>
      </c>
      <c r="BX62" s="294">
        <v>0</v>
      </c>
      <c r="BY62" s="294">
        <v>0</v>
      </c>
      <c r="BZ62" s="294">
        <v>0</v>
      </c>
      <c r="CA62" s="294">
        <v>0</v>
      </c>
      <c r="CB62" s="294">
        <v>0</v>
      </c>
      <c r="CC62" s="294">
        <v>0</v>
      </c>
      <c r="CD62" s="294">
        <v>279307.1100000001</v>
      </c>
      <c r="CE62" s="294">
        <v>0</v>
      </c>
      <c r="CF62" s="294">
        <v>4965.2000000000007</v>
      </c>
      <c r="CG62" s="294">
        <v>0</v>
      </c>
      <c r="CH62" s="294">
        <v>0</v>
      </c>
      <c r="CI62" s="294">
        <f t="shared" si="0"/>
        <v>284272.31000000011</v>
      </c>
      <c r="CJ62" s="294">
        <v>202366.11</v>
      </c>
      <c r="CK62" s="294">
        <v>0</v>
      </c>
      <c r="CL62" s="294">
        <v>0</v>
      </c>
      <c r="CM62" s="294">
        <v>202366.11</v>
      </c>
      <c r="CN62" s="294">
        <v>0</v>
      </c>
      <c r="CO62" s="294">
        <v>0</v>
      </c>
      <c r="CP62" s="294">
        <v>4467.5600000000004</v>
      </c>
      <c r="CQ62" s="294">
        <v>0</v>
      </c>
      <c r="CR62" s="294">
        <v>0</v>
      </c>
      <c r="CS62" s="294">
        <v>206833.66999999998</v>
      </c>
      <c r="CT62" s="294">
        <v>102735.67</v>
      </c>
      <c r="CU62" s="294">
        <v>0</v>
      </c>
      <c r="CV62" s="294">
        <v>0</v>
      </c>
      <c r="CW62" s="294">
        <v>102735.67</v>
      </c>
      <c r="CX62" s="294"/>
      <c r="CY62" s="294"/>
      <c r="CZ62" s="294"/>
      <c r="DA62" s="294">
        <v>0</v>
      </c>
      <c r="DB62" s="294">
        <v>102735.67</v>
      </c>
      <c r="DC62" s="294">
        <v>0</v>
      </c>
      <c r="DD62" s="294">
        <v>1825.8</v>
      </c>
      <c r="DE62" s="294">
        <v>0</v>
      </c>
      <c r="DF62" s="294">
        <v>0</v>
      </c>
      <c r="DG62" s="294">
        <v>-12212.93</v>
      </c>
      <c r="DH62" s="294">
        <v>0</v>
      </c>
      <c r="DI62" s="294">
        <v>0</v>
      </c>
      <c r="DJ62" s="294">
        <v>0</v>
      </c>
      <c r="DK62" s="294">
        <v>-10387.130000000001</v>
      </c>
      <c r="DL62" s="294">
        <v>0</v>
      </c>
      <c r="DM62" s="294">
        <v>5558</v>
      </c>
      <c r="DN62" s="294">
        <v>0</v>
      </c>
      <c r="DO62" s="294">
        <v>-20468.169999999998</v>
      </c>
      <c r="DP62" s="294">
        <v>0</v>
      </c>
      <c r="DQ62" s="324">
        <v>0.27000000001862645</v>
      </c>
      <c r="DR62" s="295">
        <v>1430066.8599999999</v>
      </c>
      <c r="DS62" s="325">
        <v>437323.7100000002</v>
      </c>
      <c r="DT62" s="295">
        <v>88841.85</v>
      </c>
      <c r="DU62" s="295">
        <v>15262.16</v>
      </c>
      <c r="DV62" s="295">
        <v>11806.67</v>
      </c>
      <c r="DW62" s="295">
        <v>-14910.169999999998</v>
      </c>
    </row>
    <row r="63" spans="1:127">
      <c r="A63" s="321">
        <v>3435</v>
      </c>
      <c r="B63" s="322" t="s">
        <v>493</v>
      </c>
      <c r="C63" s="321">
        <v>3435</v>
      </c>
      <c r="D63" s="323" t="s">
        <v>817</v>
      </c>
      <c r="E63" s="323" t="s">
        <v>539</v>
      </c>
      <c r="F63" s="323" t="s">
        <v>818</v>
      </c>
      <c r="G63" s="323" t="s">
        <v>537</v>
      </c>
      <c r="H63" s="294">
        <v>2054320.97</v>
      </c>
      <c r="I63" s="294">
        <v>0</v>
      </c>
      <c r="J63" s="294">
        <v>206440.53</v>
      </c>
      <c r="K63" s="294">
        <v>0</v>
      </c>
      <c r="L63" s="294">
        <v>66270</v>
      </c>
      <c r="M63" s="294">
        <v>3256.93</v>
      </c>
      <c r="N63" s="294">
        <v>0</v>
      </c>
      <c r="O63" s="294">
        <v>59377.820000000007</v>
      </c>
      <c r="P63" s="294">
        <v>172294.13000000003</v>
      </c>
      <c r="Q63" s="294">
        <v>0</v>
      </c>
      <c r="R63" s="294">
        <v>0</v>
      </c>
      <c r="S63" s="294">
        <v>0</v>
      </c>
      <c r="T63" s="294">
        <v>30062.42</v>
      </c>
      <c r="U63" s="294">
        <v>11080.650000000001</v>
      </c>
      <c r="V63" s="294">
        <v>0</v>
      </c>
      <c r="W63" s="294">
        <v>600.83000000000004</v>
      </c>
      <c r="X63" s="294">
        <v>100619</v>
      </c>
      <c r="Y63" s="294">
        <v>2704323.28</v>
      </c>
      <c r="Z63" s="294">
        <v>1302544.0699999996</v>
      </c>
      <c r="AA63" s="294">
        <v>0</v>
      </c>
      <c r="AB63" s="294">
        <v>404864.01</v>
      </c>
      <c r="AC63" s="294">
        <v>105052.80999999854</v>
      </c>
      <c r="AD63" s="294">
        <v>131615.04999999999</v>
      </c>
      <c r="AE63" s="294">
        <v>0</v>
      </c>
      <c r="AF63" s="294">
        <v>85909.570000000065</v>
      </c>
      <c r="AG63" s="294">
        <v>7149.300000000002</v>
      </c>
      <c r="AH63" s="294">
        <v>6027.04</v>
      </c>
      <c r="AI63" s="294">
        <v>0</v>
      </c>
      <c r="AJ63" s="294">
        <v>0</v>
      </c>
      <c r="AK63" s="294">
        <v>9913.2099999999991</v>
      </c>
      <c r="AL63" s="294">
        <v>3829.3200000000006</v>
      </c>
      <c r="AM63" s="294">
        <v>3173.64</v>
      </c>
      <c r="AN63" s="294">
        <v>10042.09</v>
      </c>
      <c r="AO63" s="294">
        <v>39094.25</v>
      </c>
      <c r="AP63" s="294">
        <v>5193.97</v>
      </c>
      <c r="AQ63" s="294">
        <v>6954.4</v>
      </c>
      <c r="AR63" s="294">
        <v>75638.880000000092</v>
      </c>
      <c r="AS63" s="294">
        <v>7909.6000000000013</v>
      </c>
      <c r="AT63" s="294">
        <v>0</v>
      </c>
      <c r="AU63" s="294">
        <v>19290.12</v>
      </c>
      <c r="AV63" s="294">
        <v>10240.799999999999</v>
      </c>
      <c r="AW63" s="294">
        <v>0</v>
      </c>
      <c r="AX63" s="294">
        <v>242236.85</v>
      </c>
      <c r="AY63" s="294">
        <v>35978.680000000008</v>
      </c>
      <c r="AZ63" s="294">
        <v>10579.54</v>
      </c>
      <c r="BA63" s="294">
        <v>196447.64</v>
      </c>
      <c r="BB63" s="294">
        <v>0</v>
      </c>
      <c r="BC63" s="294">
        <v>0</v>
      </c>
      <c r="BD63" s="294">
        <v>0</v>
      </c>
      <c r="BE63" s="294">
        <v>2719684.8399999989</v>
      </c>
      <c r="BF63" s="294">
        <v>173560.11999999988</v>
      </c>
      <c r="BG63" s="294">
        <v>-15361.559999999125</v>
      </c>
      <c r="BH63" s="294">
        <v>158198.56000000075</v>
      </c>
      <c r="BI63" s="294">
        <v>8736.25</v>
      </c>
      <c r="BJ63" s="294">
        <v>0</v>
      </c>
      <c r="BK63" s="294">
        <v>0</v>
      </c>
      <c r="BL63" s="294">
        <v>8736.25</v>
      </c>
      <c r="BM63" s="294">
        <v>0</v>
      </c>
      <c r="BN63" s="294">
        <v>0</v>
      </c>
      <c r="BO63" s="294">
        <v>0</v>
      </c>
      <c r="BP63" s="294">
        <v>8614.59</v>
      </c>
      <c r="BQ63" s="294">
        <v>8614.59</v>
      </c>
      <c r="BR63" s="294">
        <v>11098.259999999995</v>
      </c>
      <c r="BS63" s="294">
        <v>121.65999999999985</v>
      </c>
      <c r="BT63" s="294">
        <v>11219.919999999995</v>
      </c>
      <c r="BU63" s="294">
        <v>0</v>
      </c>
      <c r="BV63" s="294">
        <v>0</v>
      </c>
      <c r="BW63" s="294">
        <v>0</v>
      </c>
      <c r="BX63" s="294">
        <v>0</v>
      </c>
      <c r="BY63" s="294">
        <v>0</v>
      </c>
      <c r="BZ63" s="294">
        <v>0</v>
      </c>
      <c r="CA63" s="294">
        <v>0</v>
      </c>
      <c r="CB63" s="294">
        <v>0</v>
      </c>
      <c r="CC63" s="294">
        <v>0</v>
      </c>
      <c r="CD63" s="294">
        <v>158198.56000000075</v>
      </c>
      <c r="CE63" s="294">
        <v>0</v>
      </c>
      <c r="CF63" s="294">
        <v>11219.919999999995</v>
      </c>
      <c r="CG63" s="294">
        <v>0</v>
      </c>
      <c r="CH63" s="294">
        <v>0</v>
      </c>
      <c r="CI63" s="294">
        <f t="shared" si="0"/>
        <v>169418.48000000074</v>
      </c>
      <c r="CJ63" s="294">
        <v>242119.88</v>
      </c>
      <c r="CK63" s="294">
        <v>2516.9499999999998</v>
      </c>
      <c r="CL63" s="294">
        <v>251857.37</v>
      </c>
      <c r="CM63" s="294">
        <v>491460.3</v>
      </c>
      <c r="CN63" s="294">
        <v>0</v>
      </c>
      <c r="CO63" s="294">
        <v>0</v>
      </c>
      <c r="CP63" s="294">
        <v>4963.76</v>
      </c>
      <c r="CQ63" s="294">
        <v>0</v>
      </c>
      <c r="CR63" s="294">
        <v>-254142.28</v>
      </c>
      <c r="CS63" s="294">
        <v>242281.78</v>
      </c>
      <c r="CT63" s="294">
        <v>0</v>
      </c>
      <c r="CU63" s="294">
        <v>0</v>
      </c>
      <c r="CV63" s="294">
        <v>0</v>
      </c>
      <c r="CW63" s="294">
        <v>0</v>
      </c>
      <c r="CX63" s="294"/>
      <c r="CY63" s="294"/>
      <c r="CZ63" s="294"/>
      <c r="DA63" s="294">
        <v>0</v>
      </c>
      <c r="DB63" s="294">
        <v>0</v>
      </c>
      <c r="DC63" s="294">
        <v>0</v>
      </c>
      <c r="DD63" s="294">
        <v>5705.68</v>
      </c>
      <c r="DE63" s="294">
        <v>0</v>
      </c>
      <c r="DF63" s="294">
        <v>0</v>
      </c>
      <c r="DG63" s="294">
        <v>-13312.94</v>
      </c>
      <c r="DH63" s="294">
        <v>-65256.04</v>
      </c>
      <c r="DI63" s="294">
        <v>0</v>
      </c>
      <c r="DJ63" s="294">
        <v>0</v>
      </c>
      <c r="DK63" s="294">
        <v>-72863.3</v>
      </c>
      <c r="DL63" s="294">
        <v>0</v>
      </c>
      <c r="DM63" s="294">
        <v>0</v>
      </c>
      <c r="DN63" s="294">
        <v>0</v>
      </c>
      <c r="DO63" s="294">
        <v>0</v>
      </c>
      <c r="DP63" s="294">
        <v>0</v>
      </c>
      <c r="DQ63" s="324">
        <v>0</v>
      </c>
      <c r="DR63" s="295">
        <v>2037134.8099999984</v>
      </c>
      <c r="DS63" s="325">
        <v>682550.03000000049</v>
      </c>
      <c r="DT63" s="295">
        <v>35978.680000000008</v>
      </c>
      <c r="DU63" s="295">
        <v>261734.37000000005</v>
      </c>
      <c r="DV63" s="295">
        <v>11080.650000000001</v>
      </c>
      <c r="DW63" s="295">
        <v>0</v>
      </c>
    </row>
    <row r="64" spans="1:127">
      <c r="A64" s="321">
        <v>7050</v>
      </c>
      <c r="B64" s="322" t="s">
        <v>494</v>
      </c>
      <c r="C64" s="321">
        <v>7050</v>
      </c>
      <c r="D64" s="323" t="s">
        <v>817</v>
      </c>
      <c r="E64" s="323" t="s">
        <v>541</v>
      </c>
      <c r="F64" s="323" t="s">
        <v>818</v>
      </c>
      <c r="G64" s="323" t="s">
        <v>537</v>
      </c>
      <c r="H64" s="294">
        <v>1300199.33</v>
      </c>
      <c r="I64" s="294">
        <v>0</v>
      </c>
      <c r="J64" s="294">
        <v>1865446.68</v>
      </c>
      <c r="K64" s="294">
        <v>0</v>
      </c>
      <c r="L64" s="294">
        <v>51450</v>
      </c>
      <c r="M64" s="294">
        <v>2400</v>
      </c>
      <c r="N64" s="294">
        <v>0</v>
      </c>
      <c r="O64" s="294">
        <v>0</v>
      </c>
      <c r="P64" s="294">
        <v>35614.840000000011</v>
      </c>
      <c r="Q64" s="294">
        <v>0</v>
      </c>
      <c r="R64" s="294">
        <v>0</v>
      </c>
      <c r="S64" s="294">
        <v>0</v>
      </c>
      <c r="T64" s="294">
        <v>2020.06</v>
      </c>
      <c r="U64" s="294">
        <v>32553.63</v>
      </c>
      <c r="V64" s="294">
        <v>0</v>
      </c>
      <c r="W64" s="294">
        <v>11936.19</v>
      </c>
      <c r="X64" s="294">
        <v>0</v>
      </c>
      <c r="Y64" s="294">
        <v>3301620.7299999995</v>
      </c>
      <c r="Z64" s="294">
        <v>1291347.4699999904</v>
      </c>
      <c r="AA64" s="294">
        <v>0</v>
      </c>
      <c r="AB64" s="294">
        <v>1016078.86</v>
      </c>
      <c r="AC64" s="294">
        <v>-1.5133991837501526E-9</v>
      </c>
      <c r="AD64" s="294">
        <v>193420.93</v>
      </c>
      <c r="AE64" s="294">
        <v>0</v>
      </c>
      <c r="AF64" s="294">
        <v>40449.490000001155</v>
      </c>
      <c r="AG64" s="294">
        <v>222.76000000002387</v>
      </c>
      <c r="AH64" s="294">
        <v>9049.7800000000025</v>
      </c>
      <c r="AI64" s="294">
        <v>0</v>
      </c>
      <c r="AJ64" s="294">
        <v>0</v>
      </c>
      <c r="AK64" s="294">
        <v>80445.53</v>
      </c>
      <c r="AL64" s="294">
        <v>3658.9199999999996</v>
      </c>
      <c r="AM64" s="294">
        <v>48109.669999999991</v>
      </c>
      <c r="AN64" s="294">
        <v>2026.64</v>
      </c>
      <c r="AO64" s="294">
        <v>21509.479999999996</v>
      </c>
      <c r="AP64" s="294">
        <v>0</v>
      </c>
      <c r="AQ64" s="294">
        <v>20305.149999999998</v>
      </c>
      <c r="AR64" s="294">
        <v>74958.380000000019</v>
      </c>
      <c r="AS64" s="294">
        <v>21932.260000000002</v>
      </c>
      <c r="AT64" s="294">
        <v>0</v>
      </c>
      <c r="AU64" s="294">
        <v>26040.060000000005</v>
      </c>
      <c r="AV64" s="294">
        <v>3291.75</v>
      </c>
      <c r="AW64" s="294">
        <v>2310</v>
      </c>
      <c r="AX64" s="294">
        <v>98289.31</v>
      </c>
      <c r="AY64" s="294">
        <v>231399.23999999996</v>
      </c>
      <c r="AZ64" s="294">
        <v>2062.81</v>
      </c>
      <c r="BA64" s="294">
        <v>140819.50999999998</v>
      </c>
      <c r="BB64" s="294">
        <v>0</v>
      </c>
      <c r="BC64" s="294">
        <v>0</v>
      </c>
      <c r="BD64" s="294">
        <v>0</v>
      </c>
      <c r="BE64" s="294">
        <v>3327727.9999999893</v>
      </c>
      <c r="BF64" s="294">
        <v>926856.29</v>
      </c>
      <c r="BG64" s="294">
        <v>-26107.269999989774</v>
      </c>
      <c r="BH64" s="294">
        <v>900749.02000001026</v>
      </c>
      <c r="BI64" s="294">
        <v>9568.75</v>
      </c>
      <c r="BJ64" s="294">
        <v>0</v>
      </c>
      <c r="BK64" s="294">
        <v>0</v>
      </c>
      <c r="BL64" s="294">
        <v>9568.75</v>
      </c>
      <c r="BM64" s="294">
        <v>0</v>
      </c>
      <c r="BN64" s="294">
        <v>7460</v>
      </c>
      <c r="BO64" s="294">
        <v>0</v>
      </c>
      <c r="BP64" s="294">
        <v>0</v>
      </c>
      <c r="BQ64" s="294">
        <v>7460</v>
      </c>
      <c r="BR64" s="294">
        <v>12581.46</v>
      </c>
      <c r="BS64" s="294">
        <v>2108.75</v>
      </c>
      <c r="BT64" s="294">
        <v>14690.21</v>
      </c>
      <c r="BU64" s="294">
        <v>0</v>
      </c>
      <c r="BV64" s="294">
        <v>0</v>
      </c>
      <c r="BW64" s="294">
        <v>0</v>
      </c>
      <c r="BX64" s="294">
        <v>0</v>
      </c>
      <c r="BY64" s="294">
        <v>0</v>
      </c>
      <c r="BZ64" s="294">
        <v>0</v>
      </c>
      <c r="CA64" s="294">
        <v>0</v>
      </c>
      <c r="CB64" s="294">
        <v>0</v>
      </c>
      <c r="CC64" s="294">
        <v>0</v>
      </c>
      <c r="CD64" s="294">
        <v>900749.02000001026</v>
      </c>
      <c r="CE64" s="294">
        <v>0</v>
      </c>
      <c r="CF64" s="294">
        <v>14690.21</v>
      </c>
      <c r="CG64" s="294">
        <v>0</v>
      </c>
      <c r="CH64" s="294">
        <v>0</v>
      </c>
      <c r="CI64" s="294">
        <f t="shared" si="0"/>
        <v>915439.23000001023</v>
      </c>
      <c r="CJ64" s="294">
        <v>1137055.8799999999</v>
      </c>
      <c r="CK64" s="294">
        <v>3952.58</v>
      </c>
      <c r="CL64" s="294">
        <v>0</v>
      </c>
      <c r="CM64" s="294">
        <v>1133103.2999999998</v>
      </c>
      <c r="CN64" s="294">
        <v>0</v>
      </c>
      <c r="CO64" s="294">
        <v>0</v>
      </c>
      <c r="CP64" s="294">
        <v>5346.58</v>
      </c>
      <c r="CQ64" s="294">
        <v>-159.14999999999964</v>
      </c>
      <c r="CR64" s="294">
        <v>-216744.86</v>
      </c>
      <c r="CS64" s="294">
        <v>921545.87</v>
      </c>
      <c r="CT64" s="294">
        <v>0</v>
      </c>
      <c r="CU64" s="294">
        <v>0</v>
      </c>
      <c r="CV64" s="294">
        <v>0</v>
      </c>
      <c r="CW64" s="294">
        <v>0</v>
      </c>
      <c r="CX64" s="294"/>
      <c r="CY64" s="294"/>
      <c r="CZ64" s="294"/>
      <c r="DA64" s="294">
        <v>0</v>
      </c>
      <c r="DB64" s="294">
        <v>0</v>
      </c>
      <c r="DC64" s="294">
        <v>0</v>
      </c>
      <c r="DD64" s="294">
        <v>29097.439999999999</v>
      </c>
      <c r="DE64" s="294">
        <v>0</v>
      </c>
      <c r="DF64" s="294">
        <v>0</v>
      </c>
      <c r="DG64" s="294">
        <v>-35203.99</v>
      </c>
      <c r="DH64" s="294">
        <v>0</v>
      </c>
      <c r="DI64" s="294">
        <v>0</v>
      </c>
      <c r="DJ64" s="294">
        <v>0</v>
      </c>
      <c r="DK64" s="294">
        <v>-6106.5499999999993</v>
      </c>
      <c r="DL64" s="294">
        <v>0</v>
      </c>
      <c r="DM64" s="294">
        <v>0</v>
      </c>
      <c r="DN64" s="294">
        <v>0</v>
      </c>
      <c r="DO64" s="294">
        <v>0</v>
      </c>
      <c r="DP64" s="294">
        <v>0</v>
      </c>
      <c r="DQ64" s="324">
        <v>-8.999999996740371E-2</v>
      </c>
      <c r="DR64" s="295">
        <v>2541519.5099999905</v>
      </c>
      <c r="DS64" s="325">
        <v>786208.48999999883</v>
      </c>
      <c r="DT64" s="295">
        <v>231399.23999999996</v>
      </c>
      <c r="DU64" s="295">
        <v>37634.900000000009</v>
      </c>
      <c r="DV64" s="295">
        <v>32553.63</v>
      </c>
      <c r="DW64" s="295">
        <v>0</v>
      </c>
    </row>
    <row r="65" spans="1:127">
      <c r="A65" s="321">
        <v>1006</v>
      </c>
      <c r="B65" s="322" t="s">
        <v>412</v>
      </c>
      <c r="C65" s="321">
        <v>1006</v>
      </c>
      <c r="D65" s="323" t="s">
        <v>817</v>
      </c>
      <c r="E65" s="323" t="s">
        <v>536</v>
      </c>
      <c r="F65" s="323" t="s">
        <v>818</v>
      </c>
      <c r="G65" s="323" t="s">
        <v>537</v>
      </c>
      <c r="H65" s="294">
        <v>646139.41</v>
      </c>
      <c r="I65" s="294">
        <v>0</v>
      </c>
      <c r="J65" s="294">
        <v>87804.29</v>
      </c>
      <c r="K65" s="294">
        <v>0</v>
      </c>
      <c r="L65" s="294">
        <v>0</v>
      </c>
      <c r="M65" s="294">
        <v>0</v>
      </c>
      <c r="N65" s="294">
        <v>0</v>
      </c>
      <c r="O65" s="294">
        <v>0</v>
      </c>
      <c r="P65" s="294">
        <v>13896.38</v>
      </c>
      <c r="Q65" s="294">
        <v>0</v>
      </c>
      <c r="R65" s="294">
        <v>0</v>
      </c>
      <c r="S65" s="294">
        <v>0</v>
      </c>
      <c r="T65" s="294">
        <v>0</v>
      </c>
      <c r="U65" s="294">
        <v>41500</v>
      </c>
      <c r="V65" s="294">
        <v>0</v>
      </c>
      <c r="W65" s="294">
        <v>0</v>
      </c>
      <c r="X65" s="294">
        <v>0</v>
      </c>
      <c r="Y65" s="294">
        <v>789340.08000000007</v>
      </c>
      <c r="Z65" s="294">
        <v>241518.38999999984</v>
      </c>
      <c r="AA65" s="294">
        <v>172.3</v>
      </c>
      <c r="AB65" s="294">
        <v>237578.63</v>
      </c>
      <c r="AC65" s="294">
        <v>44554.539999999892</v>
      </c>
      <c r="AD65" s="294">
        <v>29279.190000000002</v>
      </c>
      <c r="AE65" s="294">
        <v>0</v>
      </c>
      <c r="AF65" s="294">
        <v>48546.570000000065</v>
      </c>
      <c r="AG65" s="294">
        <v>10329.190000000004</v>
      </c>
      <c r="AH65" s="294">
        <v>1764</v>
      </c>
      <c r="AI65" s="294">
        <v>0</v>
      </c>
      <c r="AJ65" s="294">
        <v>0</v>
      </c>
      <c r="AK65" s="294">
        <v>1588.83</v>
      </c>
      <c r="AL65" s="294">
        <v>0</v>
      </c>
      <c r="AM65" s="294">
        <v>567.1</v>
      </c>
      <c r="AN65" s="294">
        <v>0</v>
      </c>
      <c r="AO65" s="294">
        <v>9407.489999999998</v>
      </c>
      <c r="AP65" s="294">
        <v>0</v>
      </c>
      <c r="AQ65" s="294">
        <v>4697.7999999999993</v>
      </c>
      <c r="AR65" s="294">
        <v>25450.059999999983</v>
      </c>
      <c r="AS65" s="294">
        <v>2555.86</v>
      </c>
      <c r="AT65" s="294">
        <v>6774.04</v>
      </c>
      <c r="AU65" s="294">
        <v>8980.1699999999983</v>
      </c>
      <c r="AV65" s="294">
        <v>3291.75</v>
      </c>
      <c r="AW65" s="294">
        <v>0</v>
      </c>
      <c r="AX65" s="294">
        <v>244.54</v>
      </c>
      <c r="AY65" s="294">
        <v>0</v>
      </c>
      <c r="AZ65" s="294">
        <v>0</v>
      </c>
      <c r="BA65" s="294">
        <v>113861.70000000007</v>
      </c>
      <c r="BB65" s="294">
        <v>0</v>
      </c>
      <c r="BC65" s="294">
        <v>0</v>
      </c>
      <c r="BD65" s="294">
        <v>0</v>
      </c>
      <c r="BE65" s="294">
        <v>791162.15</v>
      </c>
      <c r="BF65" s="294">
        <v>156942.24000000011</v>
      </c>
      <c r="BG65" s="294">
        <v>-1822.0699999999488</v>
      </c>
      <c r="BH65" s="294">
        <v>155120.17000000016</v>
      </c>
      <c r="BI65" s="294">
        <v>14449.75</v>
      </c>
      <c r="BJ65" s="294">
        <v>0</v>
      </c>
      <c r="BK65" s="294">
        <v>0</v>
      </c>
      <c r="BL65" s="294">
        <v>14449.75</v>
      </c>
      <c r="BM65" s="294">
        <v>0</v>
      </c>
      <c r="BN65" s="294">
        <v>26927.429999999997</v>
      </c>
      <c r="BO65" s="294">
        <v>0</v>
      </c>
      <c r="BP65" s="294">
        <v>0</v>
      </c>
      <c r="BQ65" s="294">
        <v>26927.429999999997</v>
      </c>
      <c r="BR65" s="294">
        <v>20824.68</v>
      </c>
      <c r="BS65" s="294">
        <v>-12477.679999999997</v>
      </c>
      <c r="BT65" s="294">
        <v>8347.0000000000036</v>
      </c>
      <c r="BU65" s="294">
        <v>0</v>
      </c>
      <c r="BV65" s="294">
        <v>0</v>
      </c>
      <c r="BW65" s="294">
        <v>0</v>
      </c>
      <c r="BX65" s="294">
        <v>0</v>
      </c>
      <c r="BY65" s="294">
        <v>0</v>
      </c>
      <c r="BZ65" s="294">
        <v>0</v>
      </c>
      <c r="CA65" s="294">
        <v>0</v>
      </c>
      <c r="CB65" s="294">
        <v>0</v>
      </c>
      <c r="CC65" s="294">
        <v>0</v>
      </c>
      <c r="CD65" s="294">
        <v>155120.17000000016</v>
      </c>
      <c r="CE65" s="294">
        <v>0</v>
      </c>
      <c r="CF65" s="294">
        <v>8347.0000000000036</v>
      </c>
      <c r="CG65" s="294">
        <v>0</v>
      </c>
      <c r="CH65" s="294">
        <v>0</v>
      </c>
      <c r="CI65" s="294">
        <f t="shared" si="0"/>
        <v>163467.17000000016</v>
      </c>
      <c r="CJ65" s="294">
        <v>201638.31</v>
      </c>
      <c r="CK65" s="294">
        <v>0</v>
      </c>
      <c r="CL65" s="294">
        <v>0</v>
      </c>
      <c r="CM65" s="294">
        <v>201638.31</v>
      </c>
      <c r="CN65" s="294">
        <v>0</v>
      </c>
      <c r="CO65" s="294">
        <v>0</v>
      </c>
      <c r="CP65" s="294">
        <v>0</v>
      </c>
      <c r="CQ65" s="294">
        <v>0</v>
      </c>
      <c r="CR65" s="294">
        <v>-40909.980000000003</v>
      </c>
      <c r="CS65" s="294">
        <v>160728.32999999999</v>
      </c>
      <c r="CT65" s="294">
        <v>0</v>
      </c>
      <c r="CU65" s="294">
        <v>0</v>
      </c>
      <c r="CV65" s="294">
        <v>0</v>
      </c>
      <c r="CW65" s="294">
        <v>0</v>
      </c>
      <c r="CX65" s="294"/>
      <c r="CY65" s="294"/>
      <c r="CZ65" s="294"/>
      <c r="DA65" s="294">
        <v>-1000</v>
      </c>
      <c r="DB65" s="294">
        <v>-1000</v>
      </c>
      <c r="DC65" s="294">
        <v>0</v>
      </c>
      <c r="DD65" s="294">
        <v>4405.09</v>
      </c>
      <c r="DE65" s="294">
        <v>0</v>
      </c>
      <c r="DF65" s="294">
        <v>0</v>
      </c>
      <c r="DG65" s="294">
        <v>-666.25</v>
      </c>
      <c r="DH65" s="294">
        <v>0</v>
      </c>
      <c r="DI65" s="294">
        <v>0</v>
      </c>
      <c r="DJ65" s="294">
        <v>0</v>
      </c>
      <c r="DK65" s="294">
        <v>3738.84</v>
      </c>
      <c r="DL65" s="294">
        <v>0</v>
      </c>
      <c r="DM65" s="294">
        <v>0</v>
      </c>
      <c r="DN65" s="294">
        <v>0</v>
      </c>
      <c r="DO65" s="294">
        <v>0</v>
      </c>
      <c r="DP65" s="294">
        <v>0</v>
      </c>
      <c r="DQ65" s="324">
        <v>0</v>
      </c>
      <c r="DR65" s="295">
        <v>611978.80999999994</v>
      </c>
      <c r="DS65" s="325">
        <v>179183.34000000008</v>
      </c>
      <c r="DT65" s="295">
        <v>0</v>
      </c>
      <c r="DU65" s="295">
        <v>13896.38</v>
      </c>
      <c r="DV65" s="295">
        <v>41500</v>
      </c>
      <c r="DW65" s="295">
        <v>0</v>
      </c>
    </row>
    <row r="66" spans="1:127">
      <c r="A66" s="321">
        <v>2079</v>
      </c>
      <c r="B66" s="322" t="s">
        <v>413</v>
      </c>
      <c r="C66" s="321">
        <v>2079</v>
      </c>
      <c r="D66" s="323" t="s">
        <v>817</v>
      </c>
      <c r="E66" s="323" t="s">
        <v>539</v>
      </c>
      <c r="F66" s="323" t="s">
        <v>818</v>
      </c>
      <c r="G66" s="323" t="s">
        <v>800</v>
      </c>
      <c r="H66" s="294">
        <v>2025759.52</v>
      </c>
      <c r="I66" s="294">
        <v>0</v>
      </c>
      <c r="J66" s="294">
        <v>177959.05</v>
      </c>
      <c r="K66" s="294">
        <v>0</v>
      </c>
      <c r="L66" s="294">
        <v>257520</v>
      </c>
      <c r="M66" s="294">
        <v>3456.93</v>
      </c>
      <c r="N66" s="294">
        <v>0</v>
      </c>
      <c r="O66" s="294">
        <v>0</v>
      </c>
      <c r="P66" s="294">
        <v>28697.479999999996</v>
      </c>
      <c r="Q66" s="294">
        <v>32147.45</v>
      </c>
      <c r="R66" s="294">
        <v>0</v>
      </c>
      <c r="S66" s="294">
        <v>0</v>
      </c>
      <c r="T66" s="294">
        <v>4387.97</v>
      </c>
      <c r="U66" s="294">
        <v>0</v>
      </c>
      <c r="V66" s="294">
        <v>0</v>
      </c>
      <c r="W66" s="294">
        <v>4676.25</v>
      </c>
      <c r="X66" s="294">
        <v>50148</v>
      </c>
      <c r="Y66" s="294">
        <v>2584752.6500000004</v>
      </c>
      <c r="Z66" s="294">
        <v>1028164.7700000011</v>
      </c>
      <c r="AA66" s="294">
        <v>15580.849999999999</v>
      </c>
      <c r="AB66" s="294">
        <v>327153.52</v>
      </c>
      <c r="AC66" s="294">
        <v>27221.120000000461</v>
      </c>
      <c r="AD66" s="294">
        <v>71423.199999999997</v>
      </c>
      <c r="AE66" s="294">
        <v>0</v>
      </c>
      <c r="AF66" s="294">
        <v>132769.65000000002</v>
      </c>
      <c r="AG66" s="294">
        <v>848.46000000001004</v>
      </c>
      <c r="AH66" s="294">
        <v>5715</v>
      </c>
      <c r="AI66" s="294">
        <v>0</v>
      </c>
      <c r="AJ66" s="294">
        <v>0</v>
      </c>
      <c r="AK66" s="294">
        <v>32140.619999999995</v>
      </c>
      <c r="AL66" s="294">
        <v>0</v>
      </c>
      <c r="AM66" s="294">
        <v>5995.88</v>
      </c>
      <c r="AN66" s="294">
        <v>9413.68</v>
      </c>
      <c r="AO66" s="294">
        <v>41599.069999999985</v>
      </c>
      <c r="AP66" s="294">
        <v>23115.16</v>
      </c>
      <c r="AQ66" s="294">
        <v>5318.28</v>
      </c>
      <c r="AR66" s="294">
        <v>77366.7</v>
      </c>
      <c r="AS66" s="294">
        <v>27755.18</v>
      </c>
      <c r="AT66" s="294">
        <v>0</v>
      </c>
      <c r="AU66" s="294">
        <v>44122.170000000006</v>
      </c>
      <c r="AV66" s="294">
        <v>8600</v>
      </c>
      <c r="AW66" s="294">
        <v>5726.3700000000008</v>
      </c>
      <c r="AX66" s="294">
        <v>162354.40000000002</v>
      </c>
      <c r="AY66" s="294">
        <v>200890.60999999996</v>
      </c>
      <c r="AZ66" s="294">
        <v>8624.08</v>
      </c>
      <c r="BA66" s="294">
        <v>208080.60000000006</v>
      </c>
      <c r="BB66" s="294">
        <v>0</v>
      </c>
      <c r="BC66" s="294">
        <v>0</v>
      </c>
      <c r="BD66" s="294">
        <v>0</v>
      </c>
      <c r="BE66" s="294">
        <v>2469979.3700000015</v>
      </c>
      <c r="BF66" s="294">
        <v>-81700.390000000305</v>
      </c>
      <c r="BG66" s="294">
        <v>114773.27999999886</v>
      </c>
      <c r="BH66" s="294">
        <v>33072.889999998559</v>
      </c>
      <c r="BI66" s="294">
        <v>8038.75</v>
      </c>
      <c r="BJ66" s="294">
        <v>0</v>
      </c>
      <c r="BK66" s="294">
        <v>0</v>
      </c>
      <c r="BL66" s="294">
        <v>8038.75</v>
      </c>
      <c r="BM66" s="294">
        <v>0</v>
      </c>
      <c r="BN66" s="294">
        <v>0</v>
      </c>
      <c r="BO66" s="294">
        <v>0</v>
      </c>
      <c r="BP66" s="294">
        <v>4527</v>
      </c>
      <c r="BQ66" s="294">
        <v>4527</v>
      </c>
      <c r="BR66" s="294">
        <v>22961.439999999999</v>
      </c>
      <c r="BS66" s="294">
        <v>3511.75</v>
      </c>
      <c r="BT66" s="294">
        <v>26473.19</v>
      </c>
      <c r="BU66" s="294">
        <v>0</v>
      </c>
      <c r="BV66" s="294">
        <v>0</v>
      </c>
      <c r="BW66" s="294">
        <v>0</v>
      </c>
      <c r="BX66" s="294">
        <v>0</v>
      </c>
      <c r="BY66" s="294">
        <v>0</v>
      </c>
      <c r="BZ66" s="294">
        <v>0</v>
      </c>
      <c r="CA66" s="294">
        <v>0</v>
      </c>
      <c r="CB66" s="294">
        <v>0</v>
      </c>
      <c r="CC66" s="294">
        <v>0</v>
      </c>
      <c r="CD66" s="294">
        <v>114467.42</v>
      </c>
      <c r="CE66" s="294">
        <v>0</v>
      </c>
      <c r="CF66" s="294">
        <v>26473.19</v>
      </c>
      <c r="CG66" s="294">
        <v>0</v>
      </c>
      <c r="CH66" s="294">
        <v>0</v>
      </c>
      <c r="CI66" s="294">
        <f t="shared" si="0"/>
        <v>140940.60999999999</v>
      </c>
      <c r="CJ66" s="294">
        <v>6286.23</v>
      </c>
      <c r="CK66" s="294">
        <v>233.8</v>
      </c>
      <c r="CL66" s="294">
        <v>96.3</v>
      </c>
      <c r="CM66" s="294">
        <v>6148.73</v>
      </c>
      <c r="CN66" s="294">
        <v>0</v>
      </c>
      <c r="CO66" s="294">
        <v>0</v>
      </c>
      <c r="CP66" s="294">
        <v>0</v>
      </c>
      <c r="CQ66" s="294">
        <v>0</v>
      </c>
      <c r="CR66" s="294">
        <v>-4745</v>
      </c>
      <c r="CS66" s="294">
        <v>1403.7299999999996</v>
      </c>
      <c r="CT66" s="294">
        <v>0</v>
      </c>
      <c r="CU66" s="294">
        <v>0</v>
      </c>
      <c r="CV66" s="294">
        <v>0</v>
      </c>
      <c r="CW66" s="294">
        <v>0</v>
      </c>
      <c r="CX66" s="294"/>
      <c r="CY66" s="294"/>
      <c r="CZ66" s="294"/>
      <c r="DA66" s="294">
        <v>169418.01999999836</v>
      </c>
      <c r="DB66" s="294">
        <v>169418.01999999836</v>
      </c>
      <c r="DC66" s="294">
        <v>0</v>
      </c>
      <c r="DD66" s="294">
        <v>38.770000000000003</v>
      </c>
      <c r="DE66" s="294">
        <v>0</v>
      </c>
      <c r="DF66" s="294">
        <v>0</v>
      </c>
      <c r="DG66" s="294">
        <v>-28516.18</v>
      </c>
      <c r="DH66" s="294">
        <v>-81394.53</v>
      </c>
      <c r="DI66" s="294">
        <v>0</v>
      </c>
      <c r="DJ66" s="294">
        <v>0</v>
      </c>
      <c r="DK66" s="294">
        <f>SUM(DC66:DJ66)</f>
        <v>-109871.94</v>
      </c>
      <c r="DL66" s="294">
        <v>0</v>
      </c>
      <c r="DM66" s="294">
        <v>0</v>
      </c>
      <c r="DN66" s="294">
        <v>0</v>
      </c>
      <c r="DO66" s="294">
        <v>0</v>
      </c>
      <c r="DP66" s="294">
        <v>0</v>
      </c>
      <c r="DQ66" s="324">
        <v>1.6298145055770874E-9</v>
      </c>
      <c r="DR66" s="295">
        <v>1603161.5700000017</v>
      </c>
      <c r="DS66" s="325">
        <v>866817.79999999981</v>
      </c>
      <c r="DT66" s="295">
        <v>200890.60999999996</v>
      </c>
      <c r="DU66" s="295">
        <v>65232.899999999994</v>
      </c>
      <c r="DV66" s="295">
        <v>0</v>
      </c>
      <c r="DW66" s="295">
        <v>0</v>
      </c>
    </row>
    <row r="67" spans="1:127">
      <c r="A67" s="321">
        <v>2081</v>
      </c>
      <c r="B67" s="322" t="s">
        <v>495</v>
      </c>
      <c r="C67" s="321">
        <v>2081</v>
      </c>
      <c r="D67" s="323" t="s">
        <v>817</v>
      </c>
      <c r="E67" s="323" t="s">
        <v>539</v>
      </c>
      <c r="F67" s="323" t="s">
        <v>818</v>
      </c>
      <c r="G67" s="323" t="s">
        <v>537</v>
      </c>
      <c r="H67" s="294">
        <v>2167302.9300000002</v>
      </c>
      <c r="I67" s="294">
        <v>0</v>
      </c>
      <c r="J67" s="294">
        <v>88193.45</v>
      </c>
      <c r="K67" s="294">
        <v>0</v>
      </c>
      <c r="L67" s="294">
        <v>223400</v>
      </c>
      <c r="M67" s="294">
        <v>856.93</v>
      </c>
      <c r="N67" s="294">
        <v>0</v>
      </c>
      <c r="O67" s="294">
        <v>0</v>
      </c>
      <c r="P67" s="294">
        <v>107193.86999999998</v>
      </c>
      <c r="Q67" s="294">
        <v>10312.399999999998</v>
      </c>
      <c r="R67" s="294">
        <v>0</v>
      </c>
      <c r="S67" s="294">
        <v>0</v>
      </c>
      <c r="T67" s="294">
        <v>12725.400000000001</v>
      </c>
      <c r="U67" s="294">
        <v>0</v>
      </c>
      <c r="V67" s="294">
        <v>0</v>
      </c>
      <c r="W67" s="294">
        <v>12369.25</v>
      </c>
      <c r="X67" s="294">
        <v>73173</v>
      </c>
      <c r="Y67" s="294">
        <v>2695527.2300000004</v>
      </c>
      <c r="Z67" s="294">
        <v>1172834.3199999989</v>
      </c>
      <c r="AA67" s="294">
        <v>0</v>
      </c>
      <c r="AB67" s="294">
        <v>318067.96999999997</v>
      </c>
      <c r="AC67" s="294">
        <v>39928.349999999627</v>
      </c>
      <c r="AD67" s="294">
        <v>171155.81</v>
      </c>
      <c r="AE67" s="294">
        <v>0</v>
      </c>
      <c r="AF67" s="294">
        <v>92207.989999999641</v>
      </c>
      <c r="AG67" s="294">
        <v>6963.1400000000031</v>
      </c>
      <c r="AH67" s="294">
        <v>1255</v>
      </c>
      <c r="AI67" s="294">
        <v>0</v>
      </c>
      <c r="AJ67" s="294">
        <v>0</v>
      </c>
      <c r="AK67" s="294">
        <v>6341.04</v>
      </c>
      <c r="AL67" s="294">
        <v>7444.21</v>
      </c>
      <c r="AM67" s="294">
        <v>41067.61</v>
      </c>
      <c r="AN67" s="294">
        <v>12349.39</v>
      </c>
      <c r="AO67" s="294">
        <v>24560.7</v>
      </c>
      <c r="AP67" s="294">
        <v>41339.75</v>
      </c>
      <c r="AQ67" s="294">
        <v>6880.45</v>
      </c>
      <c r="AR67" s="294">
        <v>156226.62000000005</v>
      </c>
      <c r="AS67" s="294">
        <v>10690.41</v>
      </c>
      <c r="AT67" s="294">
        <v>0</v>
      </c>
      <c r="AU67" s="294">
        <v>17666.52999999997</v>
      </c>
      <c r="AV67" s="294">
        <v>9471</v>
      </c>
      <c r="AW67" s="294">
        <v>4715</v>
      </c>
      <c r="AX67" s="294">
        <v>173546.37</v>
      </c>
      <c r="AY67" s="294">
        <v>230145.16999999998</v>
      </c>
      <c r="AZ67" s="294">
        <v>10479.26</v>
      </c>
      <c r="BA67" s="294">
        <v>215347.23</v>
      </c>
      <c r="BB67" s="294">
        <v>0</v>
      </c>
      <c r="BC67" s="294">
        <v>0</v>
      </c>
      <c r="BD67" s="294">
        <v>0</v>
      </c>
      <c r="BE67" s="294">
        <v>2770683.3199999975</v>
      </c>
      <c r="BF67" s="294">
        <v>128567.02000000005</v>
      </c>
      <c r="BG67" s="294">
        <v>-75156.089999997057</v>
      </c>
      <c r="BH67" s="294">
        <v>53410.930000002991</v>
      </c>
      <c r="BI67" s="294">
        <v>8754.25</v>
      </c>
      <c r="BJ67" s="294">
        <v>0</v>
      </c>
      <c r="BK67" s="294">
        <v>0</v>
      </c>
      <c r="BL67" s="294">
        <v>8754.25</v>
      </c>
      <c r="BM67" s="294">
        <v>0</v>
      </c>
      <c r="BN67" s="294">
        <v>16077.139999999998</v>
      </c>
      <c r="BO67" s="294">
        <v>0</v>
      </c>
      <c r="BP67" s="294">
        <v>3584</v>
      </c>
      <c r="BQ67" s="294">
        <v>19661.14</v>
      </c>
      <c r="BR67" s="294">
        <v>50918.68</v>
      </c>
      <c r="BS67" s="294">
        <v>-10906.89</v>
      </c>
      <c r="BT67" s="294">
        <v>40011.79</v>
      </c>
      <c r="BU67" s="294">
        <v>0</v>
      </c>
      <c r="BV67" s="294">
        <v>0</v>
      </c>
      <c r="BW67" s="294">
        <v>0</v>
      </c>
      <c r="BX67" s="294">
        <v>0</v>
      </c>
      <c r="BY67" s="294">
        <v>0</v>
      </c>
      <c r="BZ67" s="294">
        <v>0</v>
      </c>
      <c r="CA67" s="294">
        <v>0</v>
      </c>
      <c r="CB67" s="294">
        <v>0</v>
      </c>
      <c r="CC67" s="294">
        <v>0</v>
      </c>
      <c r="CD67" s="294">
        <v>53410.930000002991</v>
      </c>
      <c r="CE67" s="294">
        <v>0</v>
      </c>
      <c r="CF67" s="294">
        <v>40011.79</v>
      </c>
      <c r="CG67" s="294">
        <v>0</v>
      </c>
      <c r="CH67" s="294">
        <v>0</v>
      </c>
      <c r="CI67" s="294">
        <f t="shared" si="0"/>
        <v>93422.720000002999</v>
      </c>
      <c r="CJ67" s="294">
        <v>363161.46</v>
      </c>
      <c r="CK67" s="294">
        <v>2243.88</v>
      </c>
      <c r="CL67" s="294">
        <v>401.88</v>
      </c>
      <c r="CM67" s="294">
        <v>361319.46</v>
      </c>
      <c r="CN67" s="294">
        <v>0</v>
      </c>
      <c r="CO67" s="294">
        <v>0</v>
      </c>
      <c r="CP67" s="294">
        <v>13126.97</v>
      </c>
      <c r="CQ67" s="294">
        <v>0</v>
      </c>
      <c r="CR67" s="294">
        <v>-223938.19</v>
      </c>
      <c r="CS67" s="294">
        <v>150508.24</v>
      </c>
      <c r="CT67" s="294">
        <v>0</v>
      </c>
      <c r="CU67" s="294">
        <v>0</v>
      </c>
      <c r="CV67" s="294">
        <v>0</v>
      </c>
      <c r="CW67" s="294">
        <v>0</v>
      </c>
      <c r="CX67" s="294"/>
      <c r="CY67" s="294"/>
      <c r="CZ67" s="294"/>
      <c r="DA67" s="294">
        <v>0</v>
      </c>
      <c r="DB67" s="294">
        <v>0</v>
      </c>
      <c r="DC67" s="294">
        <v>0</v>
      </c>
      <c r="DD67" s="294">
        <v>3685.2</v>
      </c>
      <c r="DE67" s="294">
        <v>0</v>
      </c>
      <c r="DF67" s="294">
        <v>0</v>
      </c>
      <c r="DG67" s="294">
        <v>-19522.47</v>
      </c>
      <c r="DH67" s="294">
        <v>-41248.25</v>
      </c>
      <c r="DI67" s="294">
        <v>0</v>
      </c>
      <c r="DJ67" s="294">
        <v>0</v>
      </c>
      <c r="DK67" s="294">
        <v>-57085.520000000004</v>
      </c>
      <c r="DL67" s="294">
        <v>0</v>
      </c>
      <c r="DM67" s="294">
        <v>0</v>
      </c>
      <c r="DN67" s="294">
        <v>0</v>
      </c>
      <c r="DO67" s="294">
        <v>0</v>
      </c>
      <c r="DP67" s="294">
        <v>0</v>
      </c>
      <c r="DQ67" s="324">
        <v>0</v>
      </c>
      <c r="DR67" s="295">
        <v>1801157.579999998</v>
      </c>
      <c r="DS67" s="325">
        <v>969525.73999999953</v>
      </c>
      <c r="DT67" s="295">
        <v>230145.16999999998</v>
      </c>
      <c r="DU67" s="295">
        <v>130231.66999999998</v>
      </c>
      <c r="DV67" s="295">
        <v>0</v>
      </c>
      <c r="DW67" s="295">
        <v>0</v>
      </c>
    </row>
    <row r="68" spans="1:127">
      <c r="A68" s="321">
        <v>2296</v>
      </c>
      <c r="B68" s="322" t="s">
        <v>352</v>
      </c>
      <c r="C68" s="321">
        <v>2296</v>
      </c>
      <c r="D68" s="323" t="s">
        <v>817</v>
      </c>
      <c r="E68" s="323" t="s">
        <v>539</v>
      </c>
      <c r="F68" s="323" t="s">
        <v>818</v>
      </c>
      <c r="G68" s="323" t="s">
        <v>798</v>
      </c>
      <c r="H68" s="294">
        <v>1718445.75</v>
      </c>
      <c r="I68" s="294">
        <v>0</v>
      </c>
      <c r="J68" s="294">
        <v>63863.45</v>
      </c>
      <c r="K68" s="294">
        <v>0</v>
      </c>
      <c r="L68" s="294">
        <v>177130</v>
      </c>
      <c r="M68" s="294">
        <v>800</v>
      </c>
      <c r="N68" s="294">
        <v>0</v>
      </c>
      <c r="O68" s="294">
        <v>41669.03</v>
      </c>
      <c r="P68" s="294">
        <v>0</v>
      </c>
      <c r="Q68" s="294">
        <v>0</v>
      </c>
      <c r="R68" s="294">
        <v>0</v>
      </c>
      <c r="S68" s="294">
        <v>0</v>
      </c>
      <c r="T68" s="294">
        <v>19727.509999999998</v>
      </c>
      <c r="U68" s="294">
        <v>0</v>
      </c>
      <c r="V68" s="294">
        <v>0</v>
      </c>
      <c r="W68" s="294">
        <v>7455.63</v>
      </c>
      <c r="X68" s="294">
        <v>42933</v>
      </c>
      <c r="Y68" s="294">
        <v>2072024.3699999999</v>
      </c>
      <c r="Z68" s="294">
        <v>988873.91</v>
      </c>
      <c r="AA68" s="294">
        <v>0</v>
      </c>
      <c r="AB68" s="294">
        <v>172639.8</v>
      </c>
      <c r="AC68" s="294">
        <v>72871.179999999993</v>
      </c>
      <c r="AD68" s="294">
        <v>103267.66</v>
      </c>
      <c r="AE68" s="294">
        <v>7380.97</v>
      </c>
      <c r="AF68" s="294">
        <v>56332.84</v>
      </c>
      <c r="AG68" s="294">
        <v>6726.28</v>
      </c>
      <c r="AH68" s="294">
        <v>3257.6</v>
      </c>
      <c r="AI68" s="294">
        <v>0</v>
      </c>
      <c r="AJ68" s="294">
        <v>0</v>
      </c>
      <c r="AK68" s="294">
        <v>72236.63</v>
      </c>
      <c r="AL68" s="294">
        <v>2246.25</v>
      </c>
      <c r="AM68" s="294">
        <v>1564.26</v>
      </c>
      <c r="AN68" s="294">
        <v>7471.35</v>
      </c>
      <c r="AO68" s="294">
        <v>27722.6</v>
      </c>
      <c r="AP68" s="294">
        <v>31269.81</v>
      </c>
      <c r="AQ68" s="294">
        <v>19836.21</v>
      </c>
      <c r="AR68" s="294">
        <v>62521.01</v>
      </c>
      <c r="AS68" s="294">
        <v>8186.86</v>
      </c>
      <c r="AT68" s="294">
        <v>0</v>
      </c>
      <c r="AU68" s="294">
        <v>6552.09</v>
      </c>
      <c r="AV68" s="294">
        <v>5377.5</v>
      </c>
      <c r="AW68" s="294">
        <v>0</v>
      </c>
      <c r="AX68" s="294">
        <v>61163.47</v>
      </c>
      <c r="AY68" s="294">
        <v>163766.15</v>
      </c>
      <c r="AZ68" s="294">
        <v>16137.990000000002</v>
      </c>
      <c r="BA68" s="294">
        <v>98854.36</v>
      </c>
      <c r="BB68" s="294">
        <v>0</v>
      </c>
      <c r="BC68" s="294">
        <v>0</v>
      </c>
      <c r="BD68" s="294">
        <v>0</v>
      </c>
      <c r="BE68" s="294">
        <v>1996256.7800000005</v>
      </c>
      <c r="BF68" s="294">
        <v>238822.42999999991</v>
      </c>
      <c r="BG68" s="294">
        <v>75767.589999999385</v>
      </c>
      <c r="BH68" s="294">
        <v>314590.01999999932</v>
      </c>
      <c r="BI68" s="294">
        <v>7403.13</v>
      </c>
      <c r="BJ68" s="294">
        <v>0</v>
      </c>
      <c r="BK68" s="294">
        <v>0</v>
      </c>
      <c r="BL68" s="294">
        <v>7403.13</v>
      </c>
      <c r="BM68" s="294">
        <v>0</v>
      </c>
      <c r="BN68" s="294">
        <v>4990</v>
      </c>
      <c r="BO68" s="294">
        <v>0</v>
      </c>
      <c r="BP68" s="294">
        <v>0</v>
      </c>
      <c r="BQ68" s="294">
        <v>4990</v>
      </c>
      <c r="BR68" s="294">
        <v>18214.11</v>
      </c>
      <c r="BS68" s="294">
        <v>2413.13</v>
      </c>
      <c r="BT68" s="294">
        <v>20627.240000000002</v>
      </c>
      <c r="BU68" s="294">
        <v>0</v>
      </c>
      <c r="BV68" s="294">
        <v>0</v>
      </c>
      <c r="BW68" s="294">
        <v>0</v>
      </c>
      <c r="BX68" s="294">
        <v>0</v>
      </c>
      <c r="BY68" s="294">
        <v>0</v>
      </c>
      <c r="BZ68" s="294">
        <v>0</v>
      </c>
      <c r="CA68" s="294">
        <v>0</v>
      </c>
      <c r="CB68" s="294">
        <v>0</v>
      </c>
      <c r="CC68" s="294">
        <v>0</v>
      </c>
      <c r="CD68" s="294">
        <v>314590.01999999932</v>
      </c>
      <c r="CE68" s="294">
        <v>0</v>
      </c>
      <c r="CF68" s="294">
        <v>20627.240000000002</v>
      </c>
      <c r="CG68" s="294">
        <v>0</v>
      </c>
      <c r="CH68" s="294">
        <v>0</v>
      </c>
      <c r="CI68" s="294">
        <f t="shared" si="0"/>
        <v>335217.25999999931</v>
      </c>
      <c r="CJ68" s="294">
        <v>453549.5</v>
      </c>
      <c r="CK68" s="294">
        <v>136388.35999999999</v>
      </c>
      <c r="CL68" s="294">
        <v>0</v>
      </c>
      <c r="CM68" s="294">
        <v>317161.14</v>
      </c>
      <c r="CN68" s="294">
        <v>0</v>
      </c>
      <c r="CO68" s="294">
        <v>0</v>
      </c>
      <c r="CP68" s="294">
        <v>14483.179999999998</v>
      </c>
      <c r="CQ68" s="294">
        <v>-8325.9</v>
      </c>
      <c r="CR68" s="294">
        <v>33340.5</v>
      </c>
      <c r="CS68" s="294">
        <v>356658.92</v>
      </c>
      <c r="CT68" s="294">
        <v>0</v>
      </c>
      <c r="CU68" s="294">
        <v>0</v>
      </c>
      <c r="CV68" s="294">
        <v>0</v>
      </c>
      <c r="CW68" s="294">
        <v>0</v>
      </c>
      <c r="CX68" s="294"/>
      <c r="CY68" s="294"/>
      <c r="CZ68" s="294"/>
      <c r="DA68" s="294">
        <v>0</v>
      </c>
      <c r="DB68" s="294">
        <v>0</v>
      </c>
      <c r="DC68" s="294">
        <v>0</v>
      </c>
      <c r="DD68" s="294">
        <v>0</v>
      </c>
      <c r="DE68" s="294">
        <v>0</v>
      </c>
      <c r="DF68" s="294">
        <v>0</v>
      </c>
      <c r="DG68" s="294">
        <v>-21441.46</v>
      </c>
      <c r="DH68" s="294">
        <v>0</v>
      </c>
      <c r="DI68" s="294">
        <v>0</v>
      </c>
      <c r="DJ68" s="294">
        <v>0</v>
      </c>
      <c r="DK68" s="294">
        <v>-21441.46</v>
      </c>
      <c r="DL68" s="294">
        <v>0</v>
      </c>
      <c r="DM68" s="294">
        <v>0</v>
      </c>
      <c r="DN68" s="294">
        <v>0</v>
      </c>
      <c r="DO68" s="294">
        <v>0</v>
      </c>
      <c r="DP68" s="294">
        <v>0</v>
      </c>
      <c r="DQ68" s="324">
        <v>-0.19999999995343387</v>
      </c>
      <c r="DR68" s="295">
        <v>1408092.64</v>
      </c>
      <c r="DS68" s="325">
        <v>588164.1400000006</v>
      </c>
      <c r="DT68" s="295">
        <v>163766.15</v>
      </c>
      <c r="DU68" s="295">
        <v>61396.539999999994</v>
      </c>
      <c r="DV68" s="295">
        <v>0</v>
      </c>
      <c r="DW68" s="295">
        <v>0</v>
      </c>
    </row>
    <row r="69" spans="1:127">
      <c r="A69" s="321">
        <v>1015</v>
      </c>
      <c r="B69" s="322" t="s">
        <v>414</v>
      </c>
      <c r="C69" s="321">
        <v>1015</v>
      </c>
      <c r="D69" s="323" t="s">
        <v>817</v>
      </c>
      <c r="E69" s="323" t="s">
        <v>536</v>
      </c>
      <c r="F69" s="323" t="s">
        <v>818</v>
      </c>
      <c r="G69" s="323" t="s">
        <v>537</v>
      </c>
      <c r="H69" s="294">
        <v>757253.73</v>
      </c>
      <c r="I69" s="294">
        <v>0</v>
      </c>
      <c r="J69" s="294">
        <v>31748.560000000001</v>
      </c>
      <c r="K69" s="294">
        <v>0</v>
      </c>
      <c r="L69" s="294">
        <v>0</v>
      </c>
      <c r="M69" s="294">
        <v>500</v>
      </c>
      <c r="N69" s="294">
        <v>0</v>
      </c>
      <c r="O69" s="294">
        <v>0</v>
      </c>
      <c r="P69" s="294">
        <v>52228</v>
      </c>
      <c r="Q69" s="294">
        <v>0</v>
      </c>
      <c r="R69" s="294">
        <v>0</v>
      </c>
      <c r="S69" s="294">
        <v>0</v>
      </c>
      <c r="T69" s="294">
        <v>36125.370000000003</v>
      </c>
      <c r="U69" s="294">
        <v>47413.35</v>
      </c>
      <c r="V69" s="294">
        <v>0</v>
      </c>
      <c r="W69" s="294">
        <v>0</v>
      </c>
      <c r="X69" s="294">
        <v>-1087</v>
      </c>
      <c r="Y69" s="294">
        <v>924182.01</v>
      </c>
      <c r="Z69" s="294">
        <v>251515.69000000012</v>
      </c>
      <c r="AA69" s="294">
        <v>0</v>
      </c>
      <c r="AB69" s="294">
        <v>377365.54</v>
      </c>
      <c r="AC69" s="294">
        <v>32735.470000000059</v>
      </c>
      <c r="AD69" s="294">
        <v>40374.660000000003</v>
      </c>
      <c r="AE69" s="294">
        <v>0</v>
      </c>
      <c r="AF69" s="294">
        <v>9481.3700000001809</v>
      </c>
      <c r="AG69" s="294">
        <v>349.99999999999818</v>
      </c>
      <c r="AH69" s="294">
        <v>5910.83</v>
      </c>
      <c r="AI69" s="294">
        <v>0</v>
      </c>
      <c r="AJ69" s="294">
        <v>3291.75</v>
      </c>
      <c r="AK69" s="294">
        <v>39684.78</v>
      </c>
      <c r="AL69" s="294">
        <v>0</v>
      </c>
      <c r="AM69" s="294">
        <v>151</v>
      </c>
      <c r="AN69" s="294">
        <v>1781.78</v>
      </c>
      <c r="AO69" s="294">
        <v>9493.1400000000012</v>
      </c>
      <c r="AP69" s="294">
        <v>0</v>
      </c>
      <c r="AQ69" s="294">
        <v>1905.1100000000001</v>
      </c>
      <c r="AR69" s="294">
        <v>29712.69000000001</v>
      </c>
      <c r="AS69" s="294">
        <v>158.75</v>
      </c>
      <c r="AT69" s="294">
        <v>0</v>
      </c>
      <c r="AU69" s="294">
        <v>7176.4799999999959</v>
      </c>
      <c r="AV69" s="294">
        <v>3291.75</v>
      </c>
      <c r="AW69" s="294">
        <v>0</v>
      </c>
      <c r="AX69" s="294">
        <v>0</v>
      </c>
      <c r="AY69" s="294">
        <v>326.79999999997381</v>
      </c>
      <c r="AZ69" s="294">
        <v>0</v>
      </c>
      <c r="BA69" s="294">
        <v>0</v>
      </c>
      <c r="BB69" s="294">
        <v>53795.8</v>
      </c>
      <c r="BC69" s="294">
        <v>0</v>
      </c>
      <c r="BD69" s="294">
        <v>0</v>
      </c>
      <c r="BE69" s="294">
        <v>868503.39000000048</v>
      </c>
      <c r="BF69" s="294">
        <v>159353.10000000009</v>
      </c>
      <c r="BG69" s="294">
        <v>55678.61999999953</v>
      </c>
      <c r="BH69" s="294">
        <v>215031.71999999962</v>
      </c>
      <c r="BI69" s="294">
        <v>4951.75</v>
      </c>
      <c r="BJ69" s="294">
        <v>0</v>
      </c>
      <c r="BK69" s="294">
        <v>0</v>
      </c>
      <c r="BL69" s="294">
        <v>4951.75</v>
      </c>
      <c r="BM69" s="294">
        <v>0</v>
      </c>
      <c r="BN69" s="294">
        <v>4250</v>
      </c>
      <c r="BO69" s="294">
        <v>0</v>
      </c>
      <c r="BP69" s="294">
        <v>0</v>
      </c>
      <c r="BQ69" s="294">
        <v>4250</v>
      </c>
      <c r="BR69" s="294">
        <v>16487.5</v>
      </c>
      <c r="BS69" s="294">
        <v>701.75</v>
      </c>
      <c r="BT69" s="294">
        <v>17189.25</v>
      </c>
      <c r="BU69" s="294">
        <v>0</v>
      </c>
      <c r="BV69" s="294">
        <v>0</v>
      </c>
      <c r="BW69" s="294">
        <v>0</v>
      </c>
      <c r="BX69" s="294">
        <v>0</v>
      </c>
      <c r="BY69" s="294">
        <v>0</v>
      </c>
      <c r="BZ69" s="294">
        <v>0</v>
      </c>
      <c r="CA69" s="294">
        <v>0</v>
      </c>
      <c r="CB69" s="294">
        <v>0</v>
      </c>
      <c r="CC69" s="294">
        <v>0</v>
      </c>
      <c r="CD69" s="294">
        <v>215031.71999999962</v>
      </c>
      <c r="CE69" s="294">
        <v>0</v>
      </c>
      <c r="CF69" s="294">
        <v>17189.25</v>
      </c>
      <c r="CG69" s="294">
        <v>0</v>
      </c>
      <c r="CH69" s="294">
        <v>0</v>
      </c>
      <c r="CI69" s="294">
        <f t="shared" si="0"/>
        <v>232220.96999999962</v>
      </c>
      <c r="CJ69" s="294">
        <v>277308.18</v>
      </c>
      <c r="CK69" s="294">
        <v>50273</v>
      </c>
      <c r="CL69" s="294">
        <v>0</v>
      </c>
      <c r="CM69" s="294">
        <v>227035.18</v>
      </c>
      <c r="CN69" s="294">
        <v>1142.46</v>
      </c>
      <c r="CO69" s="294">
        <v>0</v>
      </c>
      <c r="CP69" s="294">
        <v>893.16</v>
      </c>
      <c r="CQ69" s="294">
        <v>0</v>
      </c>
      <c r="CR69" s="294">
        <v>0</v>
      </c>
      <c r="CS69" s="294">
        <v>229070.8</v>
      </c>
      <c r="CT69" s="294">
        <v>0</v>
      </c>
      <c r="CU69" s="294">
        <v>0</v>
      </c>
      <c r="CV69" s="294">
        <v>0</v>
      </c>
      <c r="CW69" s="294">
        <v>0</v>
      </c>
      <c r="CX69" s="294"/>
      <c r="CY69" s="294"/>
      <c r="CZ69" s="294"/>
      <c r="DA69" s="294">
        <v>0</v>
      </c>
      <c r="DB69" s="294">
        <v>0</v>
      </c>
      <c r="DC69" s="294">
        <v>0</v>
      </c>
      <c r="DD69" s="294">
        <v>4792.3999999999996</v>
      </c>
      <c r="DE69" s="294">
        <v>0</v>
      </c>
      <c r="DF69" s="294">
        <v>0</v>
      </c>
      <c r="DG69" s="294">
        <v>-3430.23</v>
      </c>
      <c r="DH69" s="294">
        <v>1788</v>
      </c>
      <c r="DI69" s="294">
        <v>0</v>
      </c>
      <c r="DJ69" s="294">
        <v>0</v>
      </c>
      <c r="DK69" s="294">
        <v>3150.1699999999996</v>
      </c>
      <c r="DL69" s="294">
        <v>0</v>
      </c>
      <c r="DM69" s="294">
        <v>0</v>
      </c>
      <c r="DN69" s="294">
        <v>0</v>
      </c>
      <c r="DO69" s="294">
        <v>0</v>
      </c>
      <c r="DP69" s="294">
        <v>0</v>
      </c>
      <c r="DQ69" s="324">
        <v>0</v>
      </c>
      <c r="DR69" s="295">
        <v>711822.73000000045</v>
      </c>
      <c r="DS69" s="325">
        <v>156680.66000000003</v>
      </c>
      <c r="DT69" s="295">
        <v>326.79999999997381</v>
      </c>
      <c r="DU69" s="295">
        <v>88353.37</v>
      </c>
      <c r="DV69" s="295">
        <v>47413.35</v>
      </c>
      <c r="DW69" s="295">
        <v>0</v>
      </c>
    </row>
    <row r="70" spans="1:127">
      <c r="A70" s="321">
        <v>1022</v>
      </c>
      <c r="B70" s="322" t="s">
        <v>415</v>
      </c>
      <c r="C70" s="321">
        <v>1022</v>
      </c>
      <c r="D70" s="323" t="s">
        <v>817</v>
      </c>
      <c r="E70" s="323" t="s">
        <v>536</v>
      </c>
      <c r="F70" s="323" t="s">
        <v>818</v>
      </c>
      <c r="G70" s="323" t="s">
        <v>537</v>
      </c>
      <c r="H70" s="294">
        <v>649121.31000000006</v>
      </c>
      <c r="I70" s="294">
        <v>0</v>
      </c>
      <c r="J70" s="294">
        <v>48141.16</v>
      </c>
      <c r="K70" s="294">
        <v>0</v>
      </c>
      <c r="L70" s="294">
        <v>0</v>
      </c>
      <c r="M70" s="294">
        <v>856.93</v>
      </c>
      <c r="N70" s="294">
        <v>0</v>
      </c>
      <c r="O70" s="294">
        <v>0</v>
      </c>
      <c r="P70" s="294">
        <v>6647.33</v>
      </c>
      <c r="Q70" s="294">
        <v>0</v>
      </c>
      <c r="R70" s="294">
        <v>0</v>
      </c>
      <c r="S70" s="294">
        <v>0</v>
      </c>
      <c r="T70" s="294">
        <v>9570.4</v>
      </c>
      <c r="U70" s="294">
        <v>54976</v>
      </c>
      <c r="V70" s="294">
        <v>0</v>
      </c>
      <c r="W70" s="294">
        <v>0</v>
      </c>
      <c r="X70" s="294">
        <v>0</v>
      </c>
      <c r="Y70" s="294">
        <v>769313.13000000012</v>
      </c>
      <c r="Z70" s="294">
        <v>205669.80000000016</v>
      </c>
      <c r="AA70" s="294">
        <v>0</v>
      </c>
      <c r="AB70" s="294">
        <v>83287.16</v>
      </c>
      <c r="AC70" s="294">
        <v>1262</v>
      </c>
      <c r="AD70" s="294">
        <v>3270.66</v>
      </c>
      <c r="AE70" s="294">
        <v>0</v>
      </c>
      <c r="AF70" s="294">
        <v>97463.950000000055</v>
      </c>
      <c r="AG70" s="294">
        <v>967.60999999999785</v>
      </c>
      <c r="AH70" s="294">
        <v>2576</v>
      </c>
      <c r="AI70" s="294">
        <v>0</v>
      </c>
      <c r="AJ70" s="294">
        <v>0</v>
      </c>
      <c r="AK70" s="294">
        <v>16286.51</v>
      </c>
      <c r="AL70" s="294">
        <v>11884.4</v>
      </c>
      <c r="AM70" s="294">
        <v>13377.09</v>
      </c>
      <c r="AN70" s="294">
        <v>1165.6699999999998</v>
      </c>
      <c r="AO70" s="294">
        <v>9282.0300000000007</v>
      </c>
      <c r="AP70" s="294">
        <v>0</v>
      </c>
      <c r="AQ70" s="294">
        <v>17111.52</v>
      </c>
      <c r="AR70" s="294">
        <v>16446.139999999996</v>
      </c>
      <c r="AS70" s="294">
        <v>893.14</v>
      </c>
      <c r="AT70" s="294">
        <v>0</v>
      </c>
      <c r="AU70" s="294">
        <v>4997.6399999999994</v>
      </c>
      <c r="AV70" s="294">
        <v>3291.75</v>
      </c>
      <c r="AW70" s="294">
        <v>0</v>
      </c>
      <c r="AX70" s="294">
        <v>1379.2399999999998</v>
      </c>
      <c r="AY70" s="294">
        <v>80488.549999999988</v>
      </c>
      <c r="AZ70" s="294">
        <v>0</v>
      </c>
      <c r="BA70" s="294">
        <v>82789.929999999993</v>
      </c>
      <c r="BB70" s="294">
        <v>0</v>
      </c>
      <c r="BC70" s="294">
        <v>0</v>
      </c>
      <c r="BD70" s="294">
        <v>0</v>
      </c>
      <c r="BE70" s="294">
        <v>653890.79000000027</v>
      </c>
      <c r="BF70" s="294">
        <v>233684.74</v>
      </c>
      <c r="BG70" s="294">
        <v>115422.33999999985</v>
      </c>
      <c r="BH70" s="294">
        <v>349107.07999999984</v>
      </c>
      <c r="BI70" s="294">
        <v>4627.75</v>
      </c>
      <c r="BJ70" s="294">
        <v>0</v>
      </c>
      <c r="BK70" s="294">
        <v>0</v>
      </c>
      <c r="BL70" s="294">
        <v>4627.75</v>
      </c>
      <c r="BM70" s="294">
        <v>0</v>
      </c>
      <c r="BN70" s="294">
        <v>0</v>
      </c>
      <c r="BO70" s="294">
        <v>0</v>
      </c>
      <c r="BP70" s="294">
        <v>0</v>
      </c>
      <c r="BQ70" s="294">
        <v>0</v>
      </c>
      <c r="BR70" s="294">
        <v>7297.5899999999965</v>
      </c>
      <c r="BS70" s="294">
        <v>4627.75</v>
      </c>
      <c r="BT70" s="294">
        <v>11925.339999999997</v>
      </c>
      <c r="BU70" s="294">
        <v>0</v>
      </c>
      <c r="BV70" s="294">
        <v>0</v>
      </c>
      <c r="BW70" s="294">
        <v>0</v>
      </c>
      <c r="BX70" s="294">
        <v>0</v>
      </c>
      <c r="BY70" s="294">
        <v>0</v>
      </c>
      <c r="BZ70" s="294">
        <v>0</v>
      </c>
      <c r="CA70" s="294">
        <v>0</v>
      </c>
      <c r="CB70" s="294">
        <v>0</v>
      </c>
      <c r="CC70" s="294">
        <v>0</v>
      </c>
      <c r="CD70" s="294">
        <v>349107.07999999984</v>
      </c>
      <c r="CE70" s="294">
        <v>0</v>
      </c>
      <c r="CF70" s="294">
        <v>11925.339999999997</v>
      </c>
      <c r="CG70" s="294">
        <v>0</v>
      </c>
      <c r="CH70" s="294">
        <v>0</v>
      </c>
      <c r="CI70" s="294">
        <f t="shared" si="0"/>
        <v>361032.41999999981</v>
      </c>
      <c r="CJ70" s="294">
        <v>363258.17</v>
      </c>
      <c r="CK70" s="294">
        <v>0</v>
      </c>
      <c r="CL70" s="294">
        <v>0</v>
      </c>
      <c r="CM70" s="294">
        <v>363258.17</v>
      </c>
      <c r="CN70" s="294">
        <v>600</v>
      </c>
      <c r="CO70" s="294">
        <v>0</v>
      </c>
      <c r="CP70" s="294">
        <v>2415.84</v>
      </c>
      <c r="CQ70" s="294">
        <v>0</v>
      </c>
      <c r="CR70" s="294">
        <v>0</v>
      </c>
      <c r="CS70" s="294">
        <v>366274.01</v>
      </c>
      <c r="CT70" s="294">
        <v>0</v>
      </c>
      <c r="CU70" s="294">
        <v>0</v>
      </c>
      <c r="CV70" s="294">
        <v>0</v>
      </c>
      <c r="CW70" s="294">
        <v>0</v>
      </c>
      <c r="CX70" s="294"/>
      <c r="CY70" s="294"/>
      <c r="CZ70" s="294"/>
      <c r="DA70" s="294">
        <v>0</v>
      </c>
      <c r="DB70" s="294">
        <v>0</v>
      </c>
      <c r="DC70" s="294">
        <v>0</v>
      </c>
      <c r="DD70" s="294">
        <v>6647.33</v>
      </c>
      <c r="DE70" s="294">
        <v>0</v>
      </c>
      <c r="DF70" s="294">
        <v>0</v>
      </c>
      <c r="DG70" s="294">
        <v>-11889.31</v>
      </c>
      <c r="DH70" s="294">
        <v>0</v>
      </c>
      <c r="DI70" s="294">
        <v>0</v>
      </c>
      <c r="DJ70" s="294">
        <v>0</v>
      </c>
      <c r="DK70" s="294">
        <v>-5241.9799999999996</v>
      </c>
      <c r="DL70" s="294">
        <v>0</v>
      </c>
      <c r="DM70" s="294">
        <v>0</v>
      </c>
      <c r="DN70" s="294">
        <v>0</v>
      </c>
      <c r="DO70" s="294">
        <v>0</v>
      </c>
      <c r="DP70" s="294">
        <v>0</v>
      </c>
      <c r="DQ70" s="324"/>
      <c r="DR70" s="295">
        <v>391921.18000000023</v>
      </c>
      <c r="DS70" s="325">
        <v>261969.61000000004</v>
      </c>
      <c r="DT70" s="295">
        <v>80488.549999999988</v>
      </c>
      <c r="DU70" s="295">
        <v>16217.73</v>
      </c>
      <c r="DV70" s="295">
        <v>54976</v>
      </c>
      <c r="DW70" s="295">
        <v>0</v>
      </c>
    </row>
    <row r="71" spans="1:127">
      <c r="A71" s="321">
        <v>2087</v>
      </c>
      <c r="B71" s="322" t="s">
        <v>416</v>
      </c>
      <c r="C71" s="321">
        <v>2087</v>
      </c>
      <c r="D71" s="323" t="s">
        <v>817</v>
      </c>
      <c r="E71" s="323" t="s">
        <v>539</v>
      </c>
      <c r="F71" s="323" t="s">
        <v>818</v>
      </c>
      <c r="G71" s="323" t="s">
        <v>537</v>
      </c>
      <c r="H71" s="294">
        <v>2219419.39</v>
      </c>
      <c r="I71" s="294">
        <v>0</v>
      </c>
      <c r="J71" s="294">
        <v>144946.63</v>
      </c>
      <c r="K71" s="294">
        <v>0</v>
      </c>
      <c r="L71" s="294">
        <v>279720</v>
      </c>
      <c r="M71" s="294">
        <v>2600</v>
      </c>
      <c r="N71" s="294">
        <v>0</v>
      </c>
      <c r="O71" s="294">
        <v>0</v>
      </c>
      <c r="P71" s="294">
        <v>51892.259999999995</v>
      </c>
      <c r="Q71" s="294">
        <v>42807.26</v>
      </c>
      <c r="R71" s="294">
        <v>0</v>
      </c>
      <c r="S71" s="294">
        <v>0</v>
      </c>
      <c r="T71" s="294">
        <v>0</v>
      </c>
      <c r="U71" s="294">
        <v>0</v>
      </c>
      <c r="V71" s="294">
        <v>0</v>
      </c>
      <c r="W71" s="294">
        <v>16175.83</v>
      </c>
      <c r="X71" s="294">
        <v>44164</v>
      </c>
      <c r="Y71" s="294">
        <v>2801725.3699999996</v>
      </c>
      <c r="Z71" s="294">
        <v>1121460.5199999968</v>
      </c>
      <c r="AA71" s="294">
        <v>-193.92999999999992</v>
      </c>
      <c r="AB71" s="294">
        <v>559.11999999999978</v>
      </c>
      <c r="AC71" s="294">
        <v>486942.93000000005</v>
      </c>
      <c r="AD71" s="294">
        <v>6.31</v>
      </c>
      <c r="AE71" s="294">
        <v>0</v>
      </c>
      <c r="AF71" s="294">
        <v>393217.04</v>
      </c>
      <c r="AG71" s="294">
        <v>20711.899999999972</v>
      </c>
      <c r="AH71" s="294">
        <v>1159.0500000000002</v>
      </c>
      <c r="AI71" s="294">
        <v>0</v>
      </c>
      <c r="AJ71" s="294">
        <v>0</v>
      </c>
      <c r="AK71" s="294">
        <v>38495.780000000013</v>
      </c>
      <c r="AL71" s="294">
        <v>4652.4400000000005</v>
      </c>
      <c r="AM71" s="294">
        <v>2404.15</v>
      </c>
      <c r="AN71" s="294">
        <v>15671.899999999998</v>
      </c>
      <c r="AO71" s="294">
        <v>35367.840000000004</v>
      </c>
      <c r="AP71" s="294">
        <v>25826.99</v>
      </c>
      <c r="AQ71" s="294">
        <v>8781.880000000001</v>
      </c>
      <c r="AR71" s="294">
        <v>155444.74000000002</v>
      </c>
      <c r="AS71" s="294">
        <v>3589.65</v>
      </c>
      <c r="AT71" s="294">
        <v>0</v>
      </c>
      <c r="AU71" s="294">
        <v>25229.160000000003</v>
      </c>
      <c r="AV71" s="294">
        <v>9471</v>
      </c>
      <c r="AW71" s="294">
        <v>1495</v>
      </c>
      <c r="AX71" s="294">
        <v>149812.95000000001</v>
      </c>
      <c r="AY71" s="294">
        <v>142998.63999999998</v>
      </c>
      <c r="AZ71" s="294">
        <v>9050.27</v>
      </c>
      <c r="BA71" s="294">
        <v>123659.98999999999</v>
      </c>
      <c r="BB71" s="294">
        <v>0</v>
      </c>
      <c r="BC71" s="294">
        <v>0</v>
      </c>
      <c r="BD71" s="294">
        <v>0</v>
      </c>
      <c r="BE71" s="294">
        <v>2775815.3199999975</v>
      </c>
      <c r="BF71" s="294">
        <v>253666.92000000022</v>
      </c>
      <c r="BG71" s="294">
        <v>25910.050000002142</v>
      </c>
      <c r="BH71" s="294">
        <v>279576.97000000236</v>
      </c>
      <c r="BI71" s="294">
        <v>8230</v>
      </c>
      <c r="BJ71" s="294">
        <v>0</v>
      </c>
      <c r="BK71" s="294">
        <v>0</v>
      </c>
      <c r="BL71" s="294">
        <v>8230</v>
      </c>
      <c r="BM71" s="294">
        <v>0</v>
      </c>
      <c r="BN71" s="294">
        <v>5523.18</v>
      </c>
      <c r="BO71" s="294">
        <v>0</v>
      </c>
      <c r="BP71" s="294">
        <v>0</v>
      </c>
      <c r="BQ71" s="294">
        <v>5523.18</v>
      </c>
      <c r="BR71" s="294">
        <v>0</v>
      </c>
      <c r="BS71" s="294">
        <v>2706.8199999999997</v>
      </c>
      <c r="BT71" s="294">
        <v>2706.8199999999997</v>
      </c>
      <c r="BU71" s="294">
        <v>0</v>
      </c>
      <c r="BV71" s="294">
        <v>0</v>
      </c>
      <c r="BW71" s="294">
        <v>0</v>
      </c>
      <c r="BX71" s="294">
        <v>0</v>
      </c>
      <c r="BY71" s="294">
        <v>0</v>
      </c>
      <c r="BZ71" s="294">
        <v>0</v>
      </c>
      <c r="CA71" s="294">
        <v>0</v>
      </c>
      <c r="CB71" s="294">
        <v>0</v>
      </c>
      <c r="CC71" s="294">
        <v>0</v>
      </c>
      <c r="CD71" s="294">
        <v>279576.97000000236</v>
      </c>
      <c r="CE71" s="294">
        <v>0</v>
      </c>
      <c r="CF71" s="294">
        <v>2706.82</v>
      </c>
      <c r="CG71" s="294">
        <v>0</v>
      </c>
      <c r="CH71" s="294">
        <v>0</v>
      </c>
      <c r="CI71" s="294">
        <f t="shared" si="0"/>
        <v>282283.79000000237</v>
      </c>
      <c r="CJ71" s="294">
        <v>725319</v>
      </c>
      <c r="CK71" s="294">
        <v>0</v>
      </c>
      <c r="CL71" s="294">
        <v>0</v>
      </c>
      <c r="CM71" s="294">
        <v>725319</v>
      </c>
      <c r="CN71" s="294">
        <v>0</v>
      </c>
      <c r="CO71" s="294">
        <v>0</v>
      </c>
      <c r="CP71" s="294">
        <v>3635</v>
      </c>
      <c r="CQ71" s="294">
        <v>0</v>
      </c>
      <c r="CR71" s="294">
        <v>-409581.18</v>
      </c>
      <c r="CS71" s="294">
        <v>319372.82</v>
      </c>
      <c r="CT71" s="294">
        <v>0</v>
      </c>
      <c r="CU71" s="294">
        <v>0</v>
      </c>
      <c r="CV71" s="294">
        <v>0</v>
      </c>
      <c r="CW71" s="294">
        <v>0</v>
      </c>
      <c r="CX71" s="294"/>
      <c r="CY71" s="294"/>
      <c r="CZ71" s="294"/>
      <c r="DA71" s="294">
        <v>0</v>
      </c>
      <c r="DB71" s="294">
        <v>0</v>
      </c>
      <c r="DC71" s="294">
        <v>0</v>
      </c>
      <c r="DD71" s="294">
        <v>7545.92</v>
      </c>
      <c r="DE71" s="294">
        <v>0</v>
      </c>
      <c r="DF71" s="294">
        <v>0</v>
      </c>
      <c r="DG71" s="294">
        <v>0</v>
      </c>
      <c r="DH71" s="294">
        <v>-44634.51</v>
      </c>
      <c r="DI71" s="294">
        <v>0</v>
      </c>
      <c r="DJ71" s="294">
        <v>0</v>
      </c>
      <c r="DK71" s="294">
        <v>-37088.590000000004</v>
      </c>
      <c r="DL71" s="294">
        <v>0</v>
      </c>
      <c r="DM71" s="294">
        <v>0</v>
      </c>
      <c r="DN71" s="294">
        <v>0</v>
      </c>
      <c r="DO71" s="294">
        <v>0</v>
      </c>
      <c r="DP71" s="294">
        <v>0</v>
      </c>
      <c r="DQ71" s="324">
        <v>-0.44000000000232831</v>
      </c>
      <c r="DR71" s="295">
        <v>2022703.8899999969</v>
      </c>
      <c r="DS71" s="325">
        <v>753111.43000000063</v>
      </c>
      <c r="DT71" s="295">
        <v>142998.63999999998</v>
      </c>
      <c r="DU71" s="295">
        <v>94699.51999999999</v>
      </c>
      <c r="DV71" s="295">
        <v>0</v>
      </c>
      <c r="DW71" s="295">
        <v>0</v>
      </c>
    </row>
    <row r="72" spans="1:127">
      <c r="A72" s="321">
        <v>2466</v>
      </c>
      <c r="B72" s="322" t="s">
        <v>417</v>
      </c>
      <c r="C72" s="321">
        <v>2466</v>
      </c>
      <c r="D72" s="323" t="s">
        <v>817</v>
      </c>
      <c r="E72" s="323" t="s">
        <v>539</v>
      </c>
      <c r="F72" s="323" t="s">
        <v>818</v>
      </c>
      <c r="G72" s="323" t="s">
        <v>537</v>
      </c>
      <c r="H72" s="294">
        <v>3737307.28</v>
      </c>
      <c r="I72" s="294">
        <v>0</v>
      </c>
      <c r="J72" s="294">
        <v>88352.22</v>
      </c>
      <c r="K72" s="294">
        <v>0</v>
      </c>
      <c r="L72" s="294">
        <v>417300</v>
      </c>
      <c r="M72" s="294">
        <v>13027.72</v>
      </c>
      <c r="N72" s="294">
        <v>0</v>
      </c>
      <c r="O72" s="294">
        <v>0</v>
      </c>
      <c r="P72" s="294">
        <v>59916.990000000005</v>
      </c>
      <c r="Q72" s="294">
        <v>1509.54</v>
      </c>
      <c r="R72" s="294">
        <v>0</v>
      </c>
      <c r="S72" s="294">
        <v>0</v>
      </c>
      <c r="T72" s="294">
        <v>9458.0400000000009</v>
      </c>
      <c r="U72" s="294">
        <v>260</v>
      </c>
      <c r="V72" s="294">
        <v>0</v>
      </c>
      <c r="W72" s="294">
        <v>22809.38</v>
      </c>
      <c r="X72" s="294">
        <v>84343</v>
      </c>
      <c r="Y72" s="294">
        <v>4434284.17</v>
      </c>
      <c r="Z72" s="294">
        <v>1869034.5500000007</v>
      </c>
      <c r="AA72" s="294">
        <v>0</v>
      </c>
      <c r="AB72" s="294">
        <v>373382.39999999997</v>
      </c>
      <c r="AC72" s="294">
        <v>293038.77000000066</v>
      </c>
      <c r="AD72" s="294">
        <v>161586.28</v>
      </c>
      <c r="AE72" s="294">
        <v>91456.07</v>
      </c>
      <c r="AF72" s="294">
        <v>160841.51000000021</v>
      </c>
      <c r="AG72" s="294">
        <v>13327.660000000022</v>
      </c>
      <c r="AH72" s="294">
        <v>289</v>
      </c>
      <c r="AI72" s="294">
        <v>0</v>
      </c>
      <c r="AJ72" s="294">
        <v>0</v>
      </c>
      <c r="AK72" s="294">
        <v>74127.380000000019</v>
      </c>
      <c r="AL72" s="294">
        <v>7750.0499999999993</v>
      </c>
      <c r="AM72" s="294">
        <v>15518.429999999997</v>
      </c>
      <c r="AN72" s="294">
        <v>19708.670000000006</v>
      </c>
      <c r="AO72" s="294">
        <v>102236.13</v>
      </c>
      <c r="AP72" s="294">
        <v>30739.81</v>
      </c>
      <c r="AQ72" s="294">
        <v>50080.3</v>
      </c>
      <c r="AR72" s="294">
        <v>179650.52000000008</v>
      </c>
      <c r="AS72" s="294">
        <v>13692.39</v>
      </c>
      <c r="AT72" s="294">
        <v>0</v>
      </c>
      <c r="AU72" s="294">
        <v>64857.619999999981</v>
      </c>
      <c r="AV72" s="294">
        <v>18745.650000000001</v>
      </c>
      <c r="AW72" s="294">
        <v>0</v>
      </c>
      <c r="AX72" s="294">
        <v>123952.86000000003</v>
      </c>
      <c r="AY72" s="294">
        <v>202923.84000000008</v>
      </c>
      <c r="AZ72" s="294">
        <v>47162.5</v>
      </c>
      <c r="BA72" s="294">
        <v>405716.70999999996</v>
      </c>
      <c r="BB72" s="294">
        <v>0</v>
      </c>
      <c r="BC72" s="294">
        <v>0</v>
      </c>
      <c r="BD72" s="294">
        <v>0</v>
      </c>
      <c r="BE72" s="294">
        <v>4319819.1000000006</v>
      </c>
      <c r="BF72" s="294">
        <v>842018.03000000026</v>
      </c>
      <c r="BG72" s="294">
        <v>114465.06999999937</v>
      </c>
      <c r="BH72" s="294">
        <v>956483.09999999963</v>
      </c>
      <c r="BI72" s="294">
        <v>11402.5</v>
      </c>
      <c r="BJ72" s="294">
        <v>0</v>
      </c>
      <c r="BK72" s="294">
        <v>0</v>
      </c>
      <c r="BL72" s="294">
        <v>11402.5</v>
      </c>
      <c r="BM72" s="294">
        <v>0</v>
      </c>
      <c r="BN72" s="294">
        <v>56612</v>
      </c>
      <c r="BO72" s="294">
        <v>0</v>
      </c>
      <c r="BP72" s="294">
        <v>0</v>
      </c>
      <c r="BQ72" s="294">
        <v>56612</v>
      </c>
      <c r="BR72" s="294">
        <v>58991</v>
      </c>
      <c r="BS72" s="294">
        <v>-45209.5</v>
      </c>
      <c r="BT72" s="294">
        <v>13781.5</v>
      </c>
      <c r="BU72" s="294">
        <v>0</v>
      </c>
      <c r="BV72" s="294">
        <v>0</v>
      </c>
      <c r="BW72" s="294">
        <v>0</v>
      </c>
      <c r="BX72" s="294">
        <v>0</v>
      </c>
      <c r="BY72" s="294">
        <v>0</v>
      </c>
      <c r="BZ72" s="294">
        <v>0</v>
      </c>
      <c r="CA72" s="294">
        <v>0</v>
      </c>
      <c r="CB72" s="294">
        <v>0</v>
      </c>
      <c r="CC72" s="294">
        <v>0</v>
      </c>
      <c r="CD72" s="294">
        <v>956483.09999999963</v>
      </c>
      <c r="CE72" s="294">
        <v>0</v>
      </c>
      <c r="CF72" s="294">
        <v>13781.5</v>
      </c>
      <c r="CG72" s="294">
        <v>0</v>
      </c>
      <c r="CH72" s="294">
        <v>0</v>
      </c>
      <c r="CI72" s="294">
        <f t="shared" si="0"/>
        <v>970264.59999999963</v>
      </c>
      <c r="CJ72" s="294">
        <v>1382428.94</v>
      </c>
      <c r="CK72" s="294">
        <v>78450.350000000006</v>
      </c>
      <c r="CL72" s="294">
        <v>0</v>
      </c>
      <c r="CM72" s="294">
        <v>1303978.5899999999</v>
      </c>
      <c r="CN72" s="294">
        <v>0</v>
      </c>
      <c r="CO72" s="294">
        <v>0</v>
      </c>
      <c r="CP72" s="294">
        <v>21803.25</v>
      </c>
      <c r="CQ72" s="294">
        <v>0</v>
      </c>
      <c r="CR72" s="294">
        <v>-284980.44</v>
      </c>
      <c r="CS72" s="294">
        <v>1040801.3999999999</v>
      </c>
      <c r="CT72" s="294">
        <v>0</v>
      </c>
      <c r="CU72" s="294">
        <v>0</v>
      </c>
      <c r="CV72" s="294">
        <v>0</v>
      </c>
      <c r="CW72" s="294">
        <v>0</v>
      </c>
      <c r="CX72" s="294"/>
      <c r="CY72" s="294"/>
      <c r="CZ72" s="294"/>
      <c r="DA72" s="294">
        <v>0</v>
      </c>
      <c r="DB72" s="294">
        <v>0</v>
      </c>
      <c r="DC72" s="294">
        <v>0</v>
      </c>
      <c r="DD72" s="294">
        <v>26393.14</v>
      </c>
      <c r="DE72" s="294">
        <v>0</v>
      </c>
      <c r="DF72" s="294">
        <v>0</v>
      </c>
      <c r="DG72" s="294">
        <v>-84462.15</v>
      </c>
      <c r="DH72" s="294">
        <v>-12197.13</v>
      </c>
      <c r="DI72" s="294">
        <v>0</v>
      </c>
      <c r="DJ72" s="294">
        <v>0</v>
      </c>
      <c r="DK72" s="294">
        <v>-70266.14</v>
      </c>
      <c r="DL72" s="294">
        <v>0</v>
      </c>
      <c r="DM72" s="294">
        <v>0</v>
      </c>
      <c r="DN72" s="294">
        <v>-270.66000000000003</v>
      </c>
      <c r="DO72" s="294">
        <v>0</v>
      </c>
      <c r="DP72" s="294">
        <v>0</v>
      </c>
      <c r="DQ72" s="324">
        <v>0</v>
      </c>
      <c r="DR72" s="295">
        <v>2962667.2400000012</v>
      </c>
      <c r="DS72" s="325">
        <v>1357151.8599999994</v>
      </c>
      <c r="DT72" s="295">
        <v>202923.84000000008</v>
      </c>
      <c r="DU72" s="295">
        <v>70884.570000000007</v>
      </c>
      <c r="DV72" s="295">
        <v>260</v>
      </c>
      <c r="DW72" s="295">
        <v>-270.66000000000003</v>
      </c>
    </row>
    <row r="73" spans="1:127">
      <c r="A73" s="321">
        <v>2091</v>
      </c>
      <c r="B73" s="322" t="s">
        <v>418</v>
      </c>
      <c r="C73" s="321">
        <v>2091</v>
      </c>
      <c r="D73" s="323" t="s">
        <v>817</v>
      </c>
      <c r="E73" s="323" t="s">
        <v>539</v>
      </c>
      <c r="F73" s="323" t="s">
        <v>818</v>
      </c>
      <c r="G73" s="323" t="s">
        <v>800</v>
      </c>
      <c r="H73" s="294">
        <v>1128540.3999999999</v>
      </c>
      <c r="I73" s="294">
        <v>0</v>
      </c>
      <c r="J73" s="294">
        <v>102537.17</v>
      </c>
      <c r="K73" s="294">
        <v>0</v>
      </c>
      <c r="L73" s="294">
        <v>128690</v>
      </c>
      <c r="M73" s="294">
        <v>2706</v>
      </c>
      <c r="N73" s="294">
        <v>0</v>
      </c>
      <c r="O73" s="294">
        <v>15155</v>
      </c>
      <c r="P73" s="294">
        <v>36357.409999999996</v>
      </c>
      <c r="Q73" s="294">
        <v>1289.92</v>
      </c>
      <c r="R73" s="294">
        <v>0</v>
      </c>
      <c r="S73" s="294">
        <v>0</v>
      </c>
      <c r="T73" s="294">
        <v>12872.26</v>
      </c>
      <c r="U73" s="294">
        <v>3857.0699999999997</v>
      </c>
      <c r="V73" s="294">
        <v>0</v>
      </c>
      <c r="W73" s="294">
        <v>7168.55</v>
      </c>
      <c r="X73" s="294">
        <v>35012</v>
      </c>
      <c r="Y73" s="294">
        <v>1474185.7799999998</v>
      </c>
      <c r="Z73" s="294">
        <v>640779.74999999907</v>
      </c>
      <c r="AA73" s="294">
        <v>1205.2600000000002</v>
      </c>
      <c r="AB73" s="294">
        <v>195.60000000000014</v>
      </c>
      <c r="AC73" s="294">
        <v>328399.58000000025</v>
      </c>
      <c r="AD73" s="294">
        <v>39.989999999999888</v>
      </c>
      <c r="AE73" s="294">
        <v>0</v>
      </c>
      <c r="AF73" s="294">
        <v>370819.13999999937</v>
      </c>
      <c r="AG73" s="294">
        <v>15373.560000000009</v>
      </c>
      <c r="AH73" s="294">
        <v>3337.67</v>
      </c>
      <c r="AI73" s="294">
        <v>0</v>
      </c>
      <c r="AJ73" s="294">
        <v>1084.74</v>
      </c>
      <c r="AK73" s="294">
        <v>51931.020000000004</v>
      </c>
      <c r="AL73" s="294">
        <v>0</v>
      </c>
      <c r="AM73" s="294">
        <v>15865.500000000007</v>
      </c>
      <c r="AN73" s="294">
        <v>9098.92</v>
      </c>
      <c r="AO73" s="294">
        <v>25067.630000000005</v>
      </c>
      <c r="AP73" s="294">
        <v>16916.68</v>
      </c>
      <c r="AQ73" s="294">
        <v>11847.689999999997</v>
      </c>
      <c r="AR73" s="294">
        <v>48973.630000000026</v>
      </c>
      <c r="AS73" s="294">
        <v>346.49</v>
      </c>
      <c r="AT73" s="294">
        <v>0</v>
      </c>
      <c r="AU73" s="294">
        <v>17670.419999999984</v>
      </c>
      <c r="AV73" s="294">
        <v>5139.75</v>
      </c>
      <c r="AW73" s="294">
        <v>4505</v>
      </c>
      <c r="AX73" s="294">
        <v>61620.2</v>
      </c>
      <c r="AY73" s="294">
        <v>64146.03</v>
      </c>
      <c r="AZ73" s="294">
        <v>4462.46</v>
      </c>
      <c r="BA73" s="294">
        <v>147059.66</v>
      </c>
      <c r="BB73" s="294">
        <v>0</v>
      </c>
      <c r="BC73" s="294">
        <v>0</v>
      </c>
      <c r="BD73" s="294">
        <v>0</v>
      </c>
      <c r="BE73" s="294">
        <v>1845886.3699999982</v>
      </c>
      <c r="BF73" s="294">
        <v>-278013.80000000028</v>
      </c>
      <c r="BG73" s="294">
        <v>-371700.58999999845</v>
      </c>
      <c r="BH73" s="294">
        <v>-649714.38999999873</v>
      </c>
      <c r="BI73" s="294">
        <v>6098.13</v>
      </c>
      <c r="BJ73" s="294">
        <v>0</v>
      </c>
      <c r="BK73" s="294">
        <v>0</v>
      </c>
      <c r="BL73" s="294">
        <v>6098.13</v>
      </c>
      <c r="BM73" s="294">
        <v>0</v>
      </c>
      <c r="BN73" s="294">
        <v>0</v>
      </c>
      <c r="BO73" s="294">
        <v>0</v>
      </c>
      <c r="BP73" s="294">
        <v>0</v>
      </c>
      <c r="BQ73" s="294">
        <v>0</v>
      </c>
      <c r="BR73" s="294">
        <v>0</v>
      </c>
      <c r="BS73" s="294">
        <v>6098.13</v>
      </c>
      <c r="BT73" s="294">
        <v>6098.13</v>
      </c>
      <c r="BU73" s="294">
        <v>0</v>
      </c>
      <c r="BV73" s="294">
        <v>0</v>
      </c>
      <c r="BW73" s="294">
        <v>0</v>
      </c>
      <c r="BX73" s="294">
        <v>0</v>
      </c>
      <c r="BY73" s="294">
        <v>0</v>
      </c>
      <c r="BZ73" s="294">
        <v>0</v>
      </c>
      <c r="CA73" s="294">
        <v>0</v>
      </c>
      <c r="CB73" s="294">
        <v>0</v>
      </c>
      <c r="CC73" s="294">
        <v>0</v>
      </c>
      <c r="CD73" s="294">
        <v>-649714.38999999873</v>
      </c>
      <c r="CE73" s="294">
        <v>0</v>
      </c>
      <c r="CF73" s="294">
        <v>6098.13</v>
      </c>
      <c r="CG73" s="294">
        <v>0</v>
      </c>
      <c r="CH73" s="294">
        <v>0</v>
      </c>
      <c r="CI73" s="294">
        <f t="shared" si="0"/>
        <v>-643616.25999999873</v>
      </c>
      <c r="CJ73" s="294">
        <v>0</v>
      </c>
      <c r="CK73" s="294">
        <v>0</v>
      </c>
      <c r="CL73" s="294">
        <v>0</v>
      </c>
      <c r="CM73" s="294">
        <v>0</v>
      </c>
      <c r="CN73" s="294">
        <v>0</v>
      </c>
      <c r="CO73" s="294">
        <v>0</v>
      </c>
      <c r="CP73" s="294">
        <v>0</v>
      </c>
      <c r="CQ73" s="294">
        <v>0</v>
      </c>
      <c r="CR73" s="294">
        <v>0</v>
      </c>
      <c r="CS73" s="294">
        <v>0</v>
      </c>
      <c r="CT73" s="294">
        <v>0</v>
      </c>
      <c r="CU73" s="294">
        <v>0</v>
      </c>
      <c r="CV73" s="294">
        <v>0</v>
      </c>
      <c r="CW73" s="294">
        <v>0</v>
      </c>
      <c r="CX73" s="294"/>
      <c r="CY73" s="294"/>
      <c r="CZ73" s="294"/>
      <c r="DA73" s="294">
        <v>-650507.57999999868</v>
      </c>
      <c r="DB73" s="294">
        <v>-650507.57999999868</v>
      </c>
      <c r="DC73" s="294">
        <v>31000</v>
      </c>
      <c r="DD73" s="294">
        <v>0</v>
      </c>
      <c r="DE73" s="294">
        <v>0</v>
      </c>
      <c r="DF73" s="294">
        <v>0</v>
      </c>
      <c r="DG73" s="294">
        <v>-24108.68</v>
      </c>
      <c r="DH73" s="294">
        <v>0</v>
      </c>
      <c r="DI73" s="294">
        <v>0</v>
      </c>
      <c r="DJ73" s="294">
        <v>0</v>
      </c>
      <c r="DK73" s="294">
        <v>6891.32</v>
      </c>
      <c r="DL73" s="294">
        <v>0</v>
      </c>
      <c r="DM73" s="294">
        <v>0</v>
      </c>
      <c r="DN73" s="294">
        <v>0</v>
      </c>
      <c r="DO73" s="294">
        <v>0</v>
      </c>
      <c r="DP73" s="294">
        <v>0</v>
      </c>
      <c r="DQ73" s="324">
        <v>-1.280568540096283E-9</v>
      </c>
      <c r="DR73" s="295">
        <v>1356812.8799999987</v>
      </c>
      <c r="DS73" s="325">
        <v>489073.48999999953</v>
      </c>
      <c r="DT73" s="295">
        <v>64146.03</v>
      </c>
      <c r="DU73" s="295">
        <v>65674.59</v>
      </c>
      <c r="DV73" s="295">
        <v>3857.0699999999997</v>
      </c>
      <c r="DW73" s="295">
        <v>0</v>
      </c>
    </row>
    <row r="74" spans="1:127">
      <c r="A74" s="321">
        <v>2093</v>
      </c>
      <c r="B74" s="322" t="s">
        <v>496</v>
      </c>
      <c r="C74" s="321">
        <v>2093</v>
      </c>
      <c r="D74" s="323" t="s">
        <v>817</v>
      </c>
      <c r="E74" s="323" t="s">
        <v>539</v>
      </c>
      <c r="F74" s="323" t="s">
        <v>818</v>
      </c>
      <c r="G74" s="323" t="s">
        <v>537</v>
      </c>
      <c r="H74" s="294">
        <v>2049486.62</v>
      </c>
      <c r="I74" s="294">
        <v>0</v>
      </c>
      <c r="J74" s="294">
        <v>99597.5</v>
      </c>
      <c r="K74" s="294">
        <v>0</v>
      </c>
      <c r="L74" s="294">
        <v>114560</v>
      </c>
      <c r="M74" s="294">
        <v>5771.29</v>
      </c>
      <c r="N74" s="294">
        <v>0</v>
      </c>
      <c r="O74" s="294">
        <v>0</v>
      </c>
      <c r="P74" s="294">
        <v>108146.32999999999</v>
      </c>
      <c r="Q74" s="294">
        <v>919.00000000000728</v>
      </c>
      <c r="R74" s="294">
        <v>0</v>
      </c>
      <c r="S74" s="294">
        <v>0</v>
      </c>
      <c r="T74" s="294">
        <v>34895.61</v>
      </c>
      <c r="U74" s="294">
        <v>0</v>
      </c>
      <c r="V74" s="294">
        <v>0</v>
      </c>
      <c r="W74" s="294">
        <v>6295.21</v>
      </c>
      <c r="X74" s="294">
        <v>148416</v>
      </c>
      <c r="Y74" s="294">
        <v>2568087.56</v>
      </c>
      <c r="Z74" s="294">
        <v>840964.75000000012</v>
      </c>
      <c r="AA74" s="294">
        <v>2768.0299999999997</v>
      </c>
      <c r="AB74" s="294">
        <v>1679.7699999999991</v>
      </c>
      <c r="AC74" s="294">
        <v>392189.47000000038</v>
      </c>
      <c r="AD74" s="294">
        <v>1670.87</v>
      </c>
      <c r="AE74" s="294">
        <v>0</v>
      </c>
      <c r="AF74" s="294">
        <v>318140.40999999957</v>
      </c>
      <c r="AG74" s="294">
        <v>18992.349999999995</v>
      </c>
      <c r="AH74" s="294">
        <v>3018.26</v>
      </c>
      <c r="AI74" s="294">
        <v>0</v>
      </c>
      <c r="AJ74" s="294">
        <v>0</v>
      </c>
      <c r="AK74" s="294">
        <v>145377.53999999998</v>
      </c>
      <c r="AL74" s="294">
        <v>0</v>
      </c>
      <c r="AM74" s="294">
        <v>4628.45</v>
      </c>
      <c r="AN74" s="294">
        <v>10706.08</v>
      </c>
      <c r="AO74" s="294">
        <v>58033.279999999999</v>
      </c>
      <c r="AP74" s="294">
        <v>19886.79</v>
      </c>
      <c r="AQ74" s="294">
        <v>8880.4400000000023</v>
      </c>
      <c r="AR74" s="294">
        <v>79647.409999999989</v>
      </c>
      <c r="AS74" s="294">
        <v>17807.919999999998</v>
      </c>
      <c r="AT74" s="294">
        <v>-2792.75</v>
      </c>
      <c r="AU74" s="294">
        <v>29194.720000000005</v>
      </c>
      <c r="AV74" s="294">
        <v>0</v>
      </c>
      <c r="AW74" s="294">
        <v>100</v>
      </c>
      <c r="AX74" s="294">
        <v>185199.23</v>
      </c>
      <c r="AY74" s="294">
        <v>195525</v>
      </c>
      <c r="AZ74" s="294">
        <v>17290</v>
      </c>
      <c r="BA74" s="294">
        <v>45309.000000000015</v>
      </c>
      <c r="BB74" s="294">
        <v>0</v>
      </c>
      <c r="BC74" s="294">
        <v>0</v>
      </c>
      <c r="BD74" s="294">
        <v>0</v>
      </c>
      <c r="BE74" s="294">
        <v>2394217.0200000005</v>
      </c>
      <c r="BF74" s="294">
        <v>365168.97999999981</v>
      </c>
      <c r="BG74" s="294">
        <v>173870.53999999957</v>
      </c>
      <c r="BH74" s="294">
        <v>539039.51999999932</v>
      </c>
      <c r="BI74" s="294">
        <v>49690</v>
      </c>
      <c r="BJ74" s="294">
        <v>0</v>
      </c>
      <c r="BK74" s="294">
        <v>0</v>
      </c>
      <c r="BL74" s="294">
        <v>49690</v>
      </c>
      <c r="BM74" s="294">
        <v>0</v>
      </c>
      <c r="BN74" s="294">
        <v>34570</v>
      </c>
      <c r="BO74" s="294">
        <v>41343</v>
      </c>
      <c r="BP74" s="294">
        <v>0</v>
      </c>
      <c r="BQ74" s="294">
        <v>75913</v>
      </c>
      <c r="BR74" s="294">
        <v>66732.479999999996</v>
      </c>
      <c r="BS74" s="294">
        <v>-26223</v>
      </c>
      <c r="BT74" s="294">
        <v>40509.479999999996</v>
      </c>
      <c r="BU74" s="294">
        <v>0</v>
      </c>
      <c r="BV74" s="294">
        <v>0</v>
      </c>
      <c r="BW74" s="294">
        <v>0</v>
      </c>
      <c r="BX74" s="294">
        <v>0</v>
      </c>
      <c r="BY74" s="294">
        <v>0</v>
      </c>
      <c r="BZ74" s="294">
        <v>0</v>
      </c>
      <c r="CA74" s="294">
        <v>0</v>
      </c>
      <c r="CB74" s="294">
        <v>0</v>
      </c>
      <c r="CC74" s="294">
        <v>0</v>
      </c>
      <c r="CD74" s="294">
        <v>539039.51999999932</v>
      </c>
      <c r="CE74" s="294">
        <v>0</v>
      </c>
      <c r="CF74" s="294">
        <v>40509.479999999996</v>
      </c>
      <c r="CG74" s="294">
        <v>0</v>
      </c>
      <c r="CH74" s="294">
        <v>0</v>
      </c>
      <c r="CI74" s="294">
        <f t="shared" ref="CI74:CI137" si="1">SUM(CD74:CF74)</f>
        <v>579548.9999999993</v>
      </c>
      <c r="CJ74" s="294">
        <v>735039.98</v>
      </c>
      <c r="CK74" s="294">
        <v>0</v>
      </c>
      <c r="CL74" s="294">
        <v>0</v>
      </c>
      <c r="CM74" s="294">
        <v>735039.98</v>
      </c>
      <c r="CN74" s="294">
        <v>0</v>
      </c>
      <c r="CO74" s="294">
        <v>0</v>
      </c>
      <c r="CP74" s="294">
        <v>5335.57</v>
      </c>
      <c r="CQ74" s="294">
        <v>0</v>
      </c>
      <c r="CR74" s="294">
        <v>-125318.04062500004</v>
      </c>
      <c r="CS74" s="294">
        <v>615057.50937499991</v>
      </c>
      <c r="CT74" s="294">
        <v>0</v>
      </c>
      <c r="CU74" s="294">
        <v>0</v>
      </c>
      <c r="CV74" s="294">
        <v>0</v>
      </c>
      <c r="CW74" s="294">
        <v>0</v>
      </c>
      <c r="CX74" s="294"/>
      <c r="CY74" s="294"/>
      <c r="CZ74" s="294"/>
      <c r="DA74" s="294">
        <v>0</v>
      </c>
      <c r="DB74" s="294">
        <v>0</v>
      </c>
      <c r="DC74" s="294">
        <v>0</v>
      </c>
      <c r="DD74" s="294">
        <v>11094.84</v>
      </c>
      <c r="DE74" s="294">
        <v>0</v>
      </c>
      <c r="DF74" s="294">
        <v>0</v>
      </c>
      <c r="DG74" s="294">
        <v>0</v>
      </c>
      <c r="DH74" s="294">
        <v>-46603.35</v>
      </c>
      <c r="DI74" s="294">
        <v>0</v>
      </c>
      <c r="DJ74" s="294">
        <v>0</v>
      </c>
      <c r="DK74" s="294">
        <v>-35508.509999999995</v>
      </c>
      <c r="DL74" s="294">
        <v>0</v>
      </c>
      <c r="DM74" s="294">
        <v>0</v>
      </c>
      <c r="DN74" s="294">
        <v>0</v>
      </c>
      <c r="DO74" s="294">
        <v>0</v>
      </c>
      <c r="DP74" s="294">
        <v>0</v>
      </c>
      <c r="DQ74" s="324">
        <v>6.2500010244548321E-4</v>
      </c>
      <c r="DR74" s="295">
        <v>1576405.6500000004</v>
      </c>
      <c r="DS74" s="325">
        <v>817811.37000000011</v>
      </c>
      <c r="DT74" s="295">
        <v>195525</v>
      </c>
      <c r="DU74" s="295">
        <v>143960.94</v>
      </c>
      <c r="DV74" s="295">
        <v>0</v>
      </c>
      <c r="DW74" s="295">
        <v>0</v>
      </c>
    </row>
    <row r="75" spans="1:127">
      <c r="A75" s="321">
        <v>2092</v>
      </c>
      <c r="B75" s="322" t="s">
        <v>353</v>
      </c>
      <c r="C75" s="321">
        <v>2092</v>
      </c>
      <c r="D75" s="323" t="s">
        <v>817</v>
      </c>
      <c r="E75" s="323" t="s">
        <v>539</v>
      </c>
      <c r="F75" s="323" t="s">
        <v>818</v>
      </c>
      <c r="G75" s="323" t="s">
        <v>537</v>
      </c>
      <c r="H75" s="294">
        <v>2442727.85</v>
      </c>
      <c r="I75" s="294">
        <v>0</v>
      </c>
      <c r="J75" s="294">
        <v>97393.56</v>
      </c>
      <c r="K75" s="294">
        <v>0</v>
      </c>
      <c r="L75" s="294">
        <v>227090</v>
      </c>
      <c r="M75" s="294">
        <v>2400</v>
      </c>
      <c r="N75" s="294">
        <v>0</v>
      </c>
      <c r="O75" s="294">
        <v>0</v>
      </c>
      <c r="P75" s="294">
        <v>73403.820000000007</v>
      </c>
      <c r="Q75" s="294">
        <v>70178.710000000006</v>
      </c>
      <c r="R75" s="294">
        <v>0</v>
      </c>
      <c r="S75" s="294">
        <v>0</v>
      </c>
      <c r="T75" s="294">
        <v>25606</v>
      </c>
      <c r="U75" s="294">
        <v>186122.7</v>
      </c>
      <c r="V75" s="294">
        <v>0</v>
      </c>
      <c r="W75" s="294">
        <v>9636.25</v>
      </c>
      <c r="X75" s="294">
        <v>20807</v>
      </c>
      <c r="Y75" s="294">
        <v>3155365.89</v>
      </c>
      <c r="Z75" s="294">
        <v>1516047.85</v>
      </c>
      <c r="AA75" s="294">
        <v>0</v>
      </c>
      <c r="AB75" s="294">
        <v>158812.82999999999</v>
      </c>
      <c r="AC75" s="294">
        <v>77372.59</v>
      </c>
      <c r="AD75" s="294">
        <v>189433.54</v>
      </c>
      <c r="AE75" s="294">
        <v>0</v>
      </c>
      <c r="AF75" s="294">
        <v>80032.53</v>
      </c>
      <c r="AG75" s="294">
        <v>9248.7199999999993</v>
      </c>
      <c r="AH75" s="294">
        <v>993</v>
      </c>
      <c r="AI75" s="294">
        <v>0</v>
      </c>
      <c r="AJ75" s="294">
        <v>0</v>
      </c>
      <c r="AK75" s="294">
        <v>223838.67</v>
      </c>
      <c r="AL75" s="294">
        <v>4519.49</v>
      </c>
      <c r="AM75" s="294">
        <v>1459.42</v>
      </c>
      <c r="AN75" s="294">
        <v>8229.16</v>
      </c>
      <c r="AO75" s="294">
        <v>95351.16</v>
      </c>
      <c r="AP75" s="294">
        <v>27754.63</v>
      </c>
      <c r="AQ75" s="294">
        <v>12454.94</v>
      </c>
      <c r="AR75" s="294">
        <v>136318.24</v>
      </c>
      <c r="AS75" s="294">
        <v>49275.25</v>
      </c>
      <c r="AT75" s="294">
        <v>0</v>
      </c>
      <c r="AU75" s="294">
        <v>19382.61</v>
      </c>
      <c r="AV75" s="294">
        <v>12100</v>
      </c>
      <c r="AW75" s="294">
        <v>6783</v>
      </c>
      <c r="AX75" s="294">
        <v>145290.87</v>
      </c>
      <c r="AY75" s="294">
        <v>164224.6</v>
      </c>
      <c r="AZ75" s="294">
        <v>12133.88</v>
      </c>
      <c r="BA75" s="294">
        <v>335827.09</v>
      </c>
      <c r="BB75" s="294">
        <v>0</v>
      </c>
      <c r="BC75" s="294">
        <v>0</v>
      </c>
      <c r="BD75" s="294">
        <v>0</v>
      </c>
      <c r="BE75" s="294">
        <v>3286884.0700000003</v>
      </c>
      <c r="BF75" s="294">
        <v>928537.10000000021</v>
      </c>
      <c r="BG75" s="294">
        <v>-131518.18000000017</v>
      </c>
      <c r="BH75" s="294">
        <v>797018.92</v>
      </c>
      <c r="BI75" s="294">
        <v>9388.75</v>
      </c>
      <c r="BJ75" s="294">
        <v>0</v>
      </c>
      <c r="BK75" s="294">
        <v>0</v>
      </c>
      <c r="BL75" s="294">
        <v>9388.75</v>
      </c>
      <c r="BM75" s="294">
        <v>0</v>
      </c>
      <c r="BN75" s="294">
        <v>0</v>
      </c>
      <c r="BO75" s="294">
        <v>0</v>
      </c>
      <c r="BP75" s="294">
        <v>29048</v>
      </c>
      <c r="BQ75" s="294">
        <v>29048</v>
      </c>
      <c r="BR75" s="294">
        <v>66660.91</v>
      </c>
      <c r="BS75" s="294">
        <v>-19659.25</v>
      </c>
      <c r="BT75" s="294">
        <v>47001.66</v>
      </c>
      <c r="BU75" s="294">
        <v>0</v>
      </c>
      <c r="BV75" s="294">
        <v>0</v>
      </c>
      <c r="BW75" s="294">
        <v>0</v>
      </c>
      <c r="BX75" s="294">
        <v>0</v>
      </c>
      <c r="BY75" s="294">
        <v>0</v>
      </c>
      <c r="BZ75" s="294">
        <v>0</v>
      </c>
      <c r="CA75" s="294">
        <v>0</v>
      </c>
      <c r="CB75" s="294">
        <v>0</v>
      </c>
      <c r="CC75" s="294">
        <v>0</v>
      </c>
      <c r="CD75" s="294">
        <v>797018.92</v>
      </c>
      <c r="CE75" s="294">
        <v>0</v>
      </c>
      <c r="CF75" s="294">
        <v>47001.66</v>
      </c>
      <c r="CG75" s="294">
        <v>0</v>
      </c>
      <c r="CH75" s="294">
        <v>0</v>
      </c>
      <c r="CI75" s="294">
        <f t="shared" si="1"/>
        <v>844020.58000000007</v>
      </c>
      <c r="CJ75" s="294">
        <v>959476.43</v>
      </c>
      <c r="CK75" s="294">
        <v>-828</v>
      </c>
      <c r="CL75" s="294">
        <v>0</v>
      </c>
      <c r="CM75" s="294">
        <v>960304.43</v>
      </c>
      <c r="CN75" s="294">
        <v>0</v>
      </c>
      <c r="CO75" s="294">
        <v>0</v>
      </c>
      <c r="CP75" s="294">
        <v>10505.48</v>
      </c>
      <c r="CQ75" s="294">
        <v>8729.35</v>
      </c>
      <c r="CR75" s="294">
        <v>-172266.78</v>
      </c>
      <c r="CS75" s="294">
        <v>807272.48</v>
      </c>
      <c r="CT75" s="294">
        <v>161562.93</v>
      </c>
      <c r="CU75" s="294">
        <v>0</v>
      </c>
      <c r="CV75" s="294">
        <v>0</v>
      </c>
      <c r="CW75" s="294">
        <v>161562.93</v>
      </c>
      <c r="CX75" s="294"/>
      <c r="CY75" s="294"/>
      <c r="CZ75" s="294"/>
      <c r="DA75" s="294">
        <v>0</v>
      </c>
      <c r="DB75" s="294">
        <v>161562.93</v>
      </c>
      <c r="DC75" s="294">
        <v>0</v>
      </c>
      <c r="DD75" s="294">
        <v>0</v>
      </c>
      <c r="DE75" s="294">
        <v>1750</v>
      </c>
      <c r="DF75" s="294">
        <v>0</v>
      </c>
      <c r="DG75" s="294">
        <v>0</v>
      </c>
      <c r="DH75" s="294">
        <v>-45159.33</v>
      </c>
      <c r="DI75" s="294">
        <v>0</v>
      </c>
      <c r="DJ75" s="294">
        <v>-9520</v>
      </c>
      <c r="DK75" s="294">
        <v>-52929.33</v>
      </c>
      <c r="DL75" s="294">
        <v>0</v>
      </c>
      <c r="DM75" s="294">
        <v>0</v>
      </c>
      <c r="DN75" s="294">
        <v>-71885.320000000007</v>
      </c>
      <c r="DO75" s="294">
        <v>0</v>
      </c>
      <c r="DP75" s="294">
        <v>0</v>
      </c>
      <c r="DQ75" s="324">
        <v>-0.1799999998183921</v>
      </c>
      <c r="DR75" s="295">
        <v>2030948.0600000003</v>
      </c>
      <c r="DS75" s="325">
        <v>1255936.01</v>
      </c>
      <c r="DT75" s="295">
        <v>164224.6</v>
      </c>
      <c r="DU75" s="295">
        <v>169188.53000000003</v>
      </c>
      <c r="DV75" s="295">
        <v>186122.7</v>
      </c>
      <c r="DW75" s="295">
        <v>-71885.320000000007</v>
      </c>
    </row>
    <row r="76" spans="1:127">
      <c r="A76" s="321">
        <v>7006</v>
      </c>
      <c r="B76" s="322" t="s">
        <v>419</v>
      </c>
      <c r="C76" s="321">
        <v>7006</v>
      </c>
      <c r="D76" s="323" t="s">
        <v>817</v>
      </c>
      <c r="E76" s="323" t="s">
        <v>541</v>
      </c>
      <c r="F76" s="323" t="s">
        <v>818</v>
      </c>
      <c r="G76" s="323" t="s">
        <v>537</v>
      </c>
      <c r="H76" s="294">
        <v>1934802.45</v>
      </c>
      <c r="I76" s="294">
        <v>0</v>
      </c>
      <c r="J76" s="294">
        <v>2876689.23</v>
      </c>
      <c r="K76" s="294">
        <v>0</v>
      </c>
      <c r="L76" s="294">
        <v>129300</v>
      </c>
      <c r="M76" s="294">
        <v>2237.29</v>
      </c>
      <c r="N76" s="294">
        <v>0</v>
      </c>
      <c r="O76" s="294">
        <v>0</v>
      </c>
      <c r="P76" s="294">
        <v>15466.550000000061</v>
      </c>
      <c r="Q76" s="294">
        <v>108000.57000000005</v>
      </c>
      <c r="R76" s="294">
        <v>0</v>
      </c>
      <c r="S76" s="294">
        <v>0</v>
      </c>
      <c r="T76" s="294">
        <v>1331.1399999999999</v>
      </c>
      <c r="U76" s="294">
        <v>0</v>
      </c>
      <c r="V76" s="294">
        <v>0</v>
      </c>
      <c r="W76" s="294">
        <v>23436.89</v>
      </c>
      <c r="X76" s="294">
        <v>33555</v>
      </c>
      <c r="Y76" s="294">
        <v>5124819.1199999992</v>
      </c>
      <c r="Z76" s="294">
        <v>1198451.3999999859</v>
      </c>
      <c r="AA76" s="294">
        <v>-4288.07</v>
      </c>
      <c r="AB76" s="294">
        <v>-27021.509999999987</v>
      </c>
      <c r="AC76" s="294">
        <v>1017900.6099999987</v>
      </c>
      <c r="AD76" s="294">
        <v>107.97</v>
      </c>
      <c r="AE76" s="294">
        <v>0</v>
      </c>
      <c r="AF76" s="294">
        <v>1693309.580000004</v>
      </c>
      <c r="AG76" s="294">
        <v>56650.269999999982</v>
      </c>
      <c r="AH76" s="294">
        <v>5550</v>
      </c>
      <c r="AI76" s="294">
        <v>0</v>
      </c>
      <c r="AJ76" s="294">
        <v>0</v>
      </c>
      <c r="AK76" s="294">
        <v>115712.87999999993</v>
      </c>
      <c r="AL76" s="294">
        <v>0</v>
      </c>
      <c r="AM76" s="294">
        <v>35499.120000000003</v>
      </c>
      <c r="AN76" s="294">
        <v>12236.069999999996</v>
      </c>
      <c r="AO76" s="294">
        <v>52647.929999999986</v>
      </c>
      <c r="AP76" s="294">
        <v>0</v>
      </c>
      <c r="AQ76" s="294">
        <v>40016.110000000008</v>
      </c>
      <c r="AR76" s="294">
        <v>162931.03</v>
      </c>
      <c r="AS76" s="294">
        <v>246.32</v>
      </c>
      <c r="AT76" s="294">
        <v>0</v>
      </c>
      <c r="AU76" s="294">
        <v>61656.929999999964</v>
      </c>
      <c r="AV76" s="294">
        <v>9565.16</v>
      </c>
      <c r="AW76" s="294">
        <v>747.5</v>
      </c>
      <c r="AX76" s="294">
        <v>115064.84</v>
      </c>
      <c r="AY76" s="294">
        <v>0</v>
      </c>
      <c r="AZ76" s="294">
        <v>0</v>
      </c>
      <c r="BA76" s="294">
        <v>943509.39000000071</v>
      </c>
      <c r="BB76" s="294">
        <v>0</v>
      </c>
      <c r="BC76" s="294">
        <v>0</v>
      </c>
      <c r="BD76" s="294">
        <v>0</v>
      </c>
      <c r="BE76" s="294">
        <v>5490493.52999999</v>
      </c>
      <c r="BF76" s="294">
        <v>286048.80000000104</v>
      </c>
      <c r="BG76" s="294">
        <v>-365674.40999999084</v>
      </c>
      <c r="BH76" s="294">
        <v>-79625.6099999898</v>
      </c>
      <c r="BI76" s="294">
        <v>67170</v>
      </c>
      <c r="BJ76" s="294">
        <v>0</v>
      </c>
      <c r="BK76" s="294">
        <v>0</v>
      </c>
      <c r="BL76" s="294">
        <v>67170</v>
      </c>
      <c r="BM76" s="294">
        <v>0</v>
      </c>
      <c r="BN76" s="294">
        <v>0</v>
      </c>
      <c r="BO76" s="294">
        <v>0</v>
      </c>
      <c r="BP76" s="294">
        <v>0</v>
      </c>
      <c r="BQ76" s="294">
        <v>0</v>
      </c>
      <c r="BR76" s="294">
        <v>40338</v>
      </c>
      <c r="BS76" s="294">
        <v>67170</v>
      </c>
      <c r="BT76" s="294">
        <v>107508</v>
      </c>
      <c r="BU76" s="294">
        <v>0</v>
      </c>
      <c r="BV76" s="294">
        <v>0</v>
      </c>
      <c r="BW76" s="294">
        <v>0</v>
      </c>
      <c r="BX76" s="294">
        <v>0</v>
      </c>
      <c r="BY76" s="294">
        <v>0</v>
      </c>
      <c r="BZ76" s="294">
        <v>0</v>
      </c>
      <c r="CA76" s="294">
        <v>0</v>
      </c>
      <c r="CB76" s="294">
        <v>0</v>
      </c>
      <c r="CC76" s="294">
        <v>0</v>
      </c>
      <c r="CD76" s="294">
        <v>-79625.6099999898</v>
      </c>
      <c r="CE76" s="294">
        <v>0</v>
      </c>
      <c r="CF76" s="294">
        <v>107508</v>
      </c>
      <c r="CG76" s="294">
        <v>0</v>
      </c>
      <c r="CH76" s="294">
        <v>0</v>
      </c>
      <c r="CI76" s="294">
        <f t="shared" si="1"/>
        <v>27882.3900000102</v>
      </c>
      <c r="CJ76" s="294">
        <v>444347.13</v>
      </c>
      <c r="CK76" s="294">
        <v>0</v>
      </c>
      <c r="CL76" s="294">
        <v>0</v>
      </c>
      <c r="CM76" s="294">
        <v>444347.13</v>
      </c>
      <c r="CN76" s="294">
        <v>0</v>
      </c>
      <c r="CO76" s="294">
        <v>0</v>
      </c>
      <c r="CP76" s="294">
        <v>20269.72</v>
      </c>
      <c r="CQ76" s="294">
        <v>0</v>
      </c>
      <c r="CR76" s="294">
        <v>-408151.89</v>
      </c>
      <c r="CS76" s="294">
        <v>56464.959999999963</v>
      </c>
      <c r="CT76" s="294">
        <v>0</v>
      </c>
      <c r="CU76" s="294">
        <v>0</v>
      </c>
      <c r="CV76" s="294">
        <v>0</v>
      </c>
      <c r="CW76" s="294">
        <v>0</v>
      </c>
      <c r="CX76" s="294"/>
      <c r="CY76" s="294"/>
      <c r="CZ76" s="294"/>
      <c r="DA76" s="294">
        <v>0</v>
      </c>
      <c r="DB76" s="294">
        <v>0</v>
      </c>
      <c r="DC76" s="294">
        <v>0</v>
      </c>
      <c r="DD76" s="294">
        <v>8656.11</v>
      </c>
      <c r="DE76" s="294">
        <v>0</v>
      </c>
      <c r="DF76" s="294">
        <v>0</v>
      </c>
      <c r="DG76" s="294">
        <v>0</v>
      </c>
      <c r="DH76" s="294">
        <v>-37238.75</v>
      </c>
      <c r="DI76" s="294">
        <v>0</v>
      </c>
      <c r="DJ76" s="294">
        <v>0</v>
      </c>
      <c r="DK76" s="294">
        <v>-28582.639999999999</v>
      </c>
      <c r="DL76" s="294">
        <v>0</v>
      </c>
      <c r="DM76" s="294">
        <v>0</v>
      </c>
      <c r="DN76" s="294">
        <v>0</v>
      </c>
      <c r="DO76" s="294">
        <v>0</v>
      </c>
      <c r="DP76" s="294">
        <v>0</v>
      </c>
      <c r="DQ76" s="324">
        <v>7.000000003608875E-2</v>
      </c>
      <c r="DR76" s="295">
        <v>3935110.2499999893</v>
      </c>
      <c r="DS76" s="325">
        <v>1555383.2800000007</v>
      </c>
      <c r="DT76" s="295">
        <v>0</v>
      </c>
      <c r="DU76" s="295">
        <v>124798.26000000011</v>
      </c>
      <c r="DV76" s="295">
        <v>0</v>
      </c>
      <c r="DW76" s="295">
        <v>0</v>
      </c>
    </row>
    <row r="77" spans="1:127">
      <c r="A77" s="321">
        <v>2477</v>
      </c>
      <c r="B77" s="322" t="s">
        <v>420</v>
      </c>
      <c r="C77" s="321">
        <v>2477</v>
      </c>
      <c r="D77" s="323" t="s">
        <v>817</v>
      </c>
      <c r="E77" s="323" t="s">
        <v>539</v>
      </c>
      <c r="F77" s="323" t="s">
        <v>818</v>
      </c>
      <c r="G77" s="323" t="s">
        <v>800</v>
      </c>
      <c r="H77" s="294">
        <v>4144062.78</v>
      </c>
      <c r="I77" s="294">
        <v>0</v>
      </c>
      <c r="J77" s="294">
        <v>144950.29999999999</v>
      </c>
      <c r="K77" s="294">
        <v>0</v>
      </c>
      <c r="L77" s="294">
        <v>121230</v>
      </c>
      <c r="M77" s="294">
        <v>5456.93</v>
      </c>
      <c r="N77" s="294">
        <v>0</v>
      </c>
      <c r="O77" s="294">
        <v>0</v>
      </c>
      <c r="P77" s="294">
        <v>-164846.24999999997</v>
      </c>
      <c r="Q77" s="294">
        <v>2295.4899999999998</v>
      </c>
      <c r="R77" s="294">
        <v>0</v>
      </c>
      <c r="S77" s="294">
        <v>0</v>
      </c>
      <c r="T77" s="294">
        <v>302498.90999999992</v>
      </c>
      <c r="U77" s="294">
        <v>0</v>
      </c>
      <c r="V77" s="294">
        <v>0</v>
      </c>
      <c r="W77" s="294">
        <v>1780.83</v>
      </c>
      <c r="X77" s="294">
        <v>174033</v>
      </c>
      <c r="Y77" s="294">
        <v>4731461.99</v>
      </c>
      <c r="Z77" s="294">
        <v>2091475.4500000067</v>
      </c>
      <c r="AA77" s="294">
        <v>12858.79</v>
      </c>
      <c r="AB77" s="294">
        <v>-813.52999999999975</v>
      </c>
      <c r="AC77" s="294">
        <v>720605.05999999912</v>
      </c>
      <c r="AD77" s="294">
        <v>628.50999999999988</v>
      </c>
      <c r="AE77" s="294">
        <v>0</v>
      </c>
      <c r="AF77" s="294">
        <v>955605.33000000089</v>
      </c>
      <c r="AG77" s="294">
        <v>34088.209999999941</v>
      </c>
      <c r="AH77" s="294">
        <v>7083</v>
      </c>
      <c r="AI77" s="294">
        <v>0</v>
      </c>
      <c r="AJ77" s="294">
        <v>2385.2600000000002</v>
      </c>
      <c r="AK77" s="294">
        <v>36354.880000000005</v>
      </c>
      <c r="AL77" s="294">
        <v>0</v>
      </c>
      <c r="AM77" s="294">
        <v>93057.27</v>
      </c>
      <c r="AN77" s="294">
        <v>4908.7000000000007</v>
      </c>
      <c r="AO77" s="294">
        <v>95848.390000000014</v>
      </c>
      <c r="AP77" s="294">
        <v>33389.800000000003</v>
      </c>
      <c r="AQ77" s="294">
        <v>43786.73</v>
      </c>
      <c r="AR77" s="294">
        <v>116871.4800000001</v>
      </c>
      <c r="AS77" s="294">
        <v>20262.36</v>
      </c>
      <c r="AT77" s="294">
        <v>95</v>
      </c>
      <c r="AU77" s="294">
        <v>50566.959999999992</v>
      </c>
      <c r="AV77" s="294">
        <v>24312.75</v>
      </c>
      <c r="AW77" s="294">
        <v>7794.6</v>
      </c>
      <c r="AX77" s="294">
        <v>171339.42</v>
      </c>
      <c r="AY77" s="294">
        <v>274396.14000000013</v>
      </c>
      <c r="AZ77" s="294">
        <v>35335.5</v>
      </c>
      <c r="BA77" s="294">
        <v>323627.32000000036</v>
      </c>
      <c r="BB77" s="294">
        <v>0</v>
      </c>
      <c r="BC77" s="294">
        <v>0</v>
      </c>
      <c r="BD77" s="294">
        <v>0</v>
      </c>
      <c r="BE77" s="294">
        <v>5155863.3800000064</v>
      </c>
      <c r="BF77" s="294">
        <v>-76900.000000000524</v>
      </c>
      <c r="BG77" s="294">
        <v>-424401.39000000618</v>
      </c>
      <c r="BH77" s="294">
        <v>-501301.39000000671</v>
      </c>
      <c r="BI77" s="294">
        <v>44621.38</v>
      </c>
      <c r="BJ77" s="294">
        <v>0</v>
      </c>
      <c r="BK77" s="294">
        <v>0</v>
      </c>
      <c r="BL77" s="294">
        <v>44621.38</v>
      </c>
      <c r="BM77" s="294">
        <v>0</v>
      </c>
      <c r="BN77" s="294">
        <v>0</v>
      </c>
      <c r="BO77" s="294">
        <v>0</v>
      </c>
      <c r="BP77" s="294">
        <v>0</v>
      </c>
      <c r="BQ77" s="294">
        <v>0</v>
      </c>
      <c r="BR77" s="294">
        <v>1214.1100000000006</v>
      </c>
      <c r="BS77" s="294">
        <v>44621.38</v>
      </c>
      <c r="BT77" s="294">
        <v>45835.49</v>
      </c>
      <c r="BU77" s="294">
        <v>0</v>
      </c>
      <c r="BV77" s="294">
        <v>0</v>
      </c>
      <c r="BW77" s="294">
        <v>0</v>
      </c>
      <c r="BX77" s="294">
        <v>0</v>
      </c>
      <c r="BY77" s="294">
        <v>0</v>
      </c>
      <c r="BZ77" s="294">
        <v>0</v>
      </c>
      <c r="CA77" s="294">
        <v>0</v>
      </c>
      <c r="CB77" s="294">
        <v>0</v>
      </c>
      <c r="CC77" s="294">
        <v>0</v>
      </c>
      <c r="CD77" s="294">
        <v>-501301.39000000671</v>
      </c>
      <c r="CE77" s="294">
        <v>0</v>
      </c>
      <c r="CF77" s="294">
        <v>45835.49</v>
      </c>
      <c r="CG77" s="294">
        <v>0</v>
      </c>
      <c r="CH77" s="294">
        <v>0</v>
      </c>
      <c r="CI77" s="294">
        <f t="shared" si="1"/>
        <v>-455465.90000000672</v>
      </c>
      <c r="CJ77" s="294">
        <v>0</v>
      </c>
      <c r="CK77" s="294">
        <v>0</v>
      </c>
      <c r="CL77" s="294">
        <v>0</v>
      </c>
      <c r="CM77" s="294">
        <v>0</v>
      </c>
      <c r="CN77" s="294">
        <v>0</v>
      </c>
      <c r="CO77" s="294">
        <v>0</v>
      </c>
      <c r="CP77" s="294">
        <v>0</v>
      </c>
      <c r="CQ77" s="294">
        <v>0</v>
      </c>
      <c r="CR77" s="294">
        <v>0</v>
      </c>
      <c r="CS77" s="294">
        <v>0</v>
      </c>
      <c r="CT77" s="294">
        <v>0</v>
      </c>
      <c r="CU77" s="294">
        <v>0</v>
      </c>
      <c r="CV77" s="294">
        <v>0</v>
      </c>
      <c r="CW77" s="294">
        <v>0</v>
      </c>
      <c r="CX77" s="294"/>
      <c r="CY77" s="294"/>
      <c r="CZ77" s="294"/>
      <c r="DA77" s="294">
        <v>-383258.91000000673</v>
      </c>
      <c r="DB77" s="294">
        <v>-383258.91000000673</v>
      </c>
      <c r="DC77" s="294">
        <v>0</v>
      </c>
      <c r="DD77" s="294">
        <v>10177.959999999999</v>
      </c>
      <c r="DE77" s="294">
        <v>0</v>
      </c>
      <c r="DF77" s="294">
        <v>0</v>
      </c>
      <c r="DG77" s="294">
        <v>-81866.25</v>
      </c>
      <c r="DH77" s="294">
        <v>-518.70000000000005</v>
      </c>
      <c r="DI77" s="294">
        <v>0</v>
      </c>
      <c r="DJ77" s="294">
        <v>0</v>
      </c>
      <c r="DK77" s="294">
        <v>-72206.990000000005</v>
      </c>
      <c r="DL77" s="294">
        <v>0</v>
      </c>
      <c r="DM77" s="294">
        <v>0</v>
      </c>
      <c r="DN77" s="294">
        <v>0</v>
      </c>
      <c r="DO77" s="294">
        <v>0</v>
      </c>
      <c r="DP77" s="294">
        <v>0</v>
      </c>
      <c r="DQ77" s="324">
        <v>6.6938810050487518E-9</v>
      </c>
      <c r="DR77" s="295">
        <v>3814447.8200000068</v>
      </c>
      <c r="DS77" s="325">
        <v>1341415.5599999996</v>
      </c>
      <c r="DT77" s="295">
        <v>274396.14000000013</v>
      </c>
      <c r="DU77" s="295">
        <v>139948.14999999994</v>
      </c>
      <c r="DV77" s="295">
        <v>0</v>
      </c>
      <c r="DW77" s="295">
        <v>0</v>
      </c>
    </row>
    <row r="78" spans="1:127">
      <c r="A78" s="321">
        <v>3436</v>
      </c>
      <c r="B78" s="322" t="s">
        <v>421</v>
      </c>
      <c r="C78" s="321">
        <v>3436</v>
      </c>
      <c r="D78" s="323" t="s">
        <v>817</v>
      </c>
      <c r="E78" s="323" t="s">
        <v>539</v>
      </c>
      <c r="F78" s="323" t="s">
        <v>818</v>
      </c>
      <c r="G78" s="323" t="s">
        <v>800</v>
      </c>
      <c r="H78" s="294">
        <v>1118443.71</v>
      </c>
      <c r="I78" s="294">
        <v>0</v>
      </c>
      <c r="J78" s="294">
        <v>43566.81</v>
      </c>
      <c r="K78" s="294">
        <v>0</v>
      </c>
      <c r="L78" s="294">
        <v>107210</v>
      </c>
      <c r="M78" s="294">
        <v>4800</v>
      </c>
      <c r="N78" s="294">
        <v>0</v>
      </c>
      <c r="O78" s="294">
        <v>0</v>
      </c>
      <c r="P78" s="294">
        <v>27470.04</v>
      </c>
      <c r="Q78" s="294">
        <v>0</v>
      </c>
      <c r="R78" s="294">
        <v>0</v>
      </c>
      <c r="S78" s="294">
        <v>0</v>
      </c>
      <c r="T78" s="294">
        <v>-28</v>
      </c>
      <c r="U78" s="294">
        <v>0</v>
      </c>
      <c r="V78" s="294">
        <v>0</v>
      </c>
      <c r="W78" s="294">
        <v>1520</v>
      </c>
      <c r="X78" s="294">
        <v>42676</v>
      </c>
      <c r="Y78" s="294">
        <v>1345658.56</v>
      </c>
      <c r="Z78" s="294">
        <v>423547.79000000015</v>
      </c>
      <c r="AA78" s="294">
        <v>1830.37</v>
      </c>
      <c r="AB78" s="294">
        <v>-70.88</v>
      </c>
      <c r="AC78" s="294">
        <v>255178.15999999983</v>
      </c>
      <c r="AD78" s="294">
        <v>880.73</v>
      </c>
      <c r="AE78" s="294">
        <v>0</v>
      </c>
      <c r="AF78" s="294">
        <v>201305.31999999998</v>
      </c>
      <c r="AG78" s="294">
        <v>11296.239999999996</v>
      </c>
      <c r="AH78" s="294">
        <v>946.99</v>
      </c>
      <c r="AI78" s="294">
        <v>0</v>
      </c>
      <c r="AJ78" s="294">
        <v>0</v>
      </c>
      <c r="AK78" s="294">
        <v>14510.239999999998</v>
      </c>
      <c r="AL78" s="294">
        <v>0</v>
      </c>
      <c r="AM78" s="294">
        <v>2273.48</v>
      </c>
      <c r="AN78" s="294">
        <v>4623.87</v>
      </c>
      <c r="AO78" s="294">
        <v>16867.159999999996</v>
      </c>
      <c r="AP78" s="294">
        <v>6677.96</v>
      </c>
      <c r="AQ78" s="294">
        <v>3401.5600000000004</v>
      </c>
      <c r="AR78" s="294">
        <v>44674.720000000001</v>
      </c>
      <c r="AS78" s="294">
        <v>9380.64</v>
      </c>
      <c r="AT78" s="294">
        <v>0</v>
      </c>
      <c r="AU78" s="294">
        <v>23457.74</v>
      </c>
      <c r="AV78" s="294">
        <v>5139.75</v>
      </c>
      <c r="AW78" s="294">
        <v>0</v>
      </c>
      <c r="AX78" s="294">
        <v>80061.999999999956</v>
      </c>
      <c r="AY78" s="294">
        <v>165229.26999999999</v>
      </c>
      <c r="AZ78" s="294">
        <v>4412.32</v>
      </c>
      <c r="BA78" s="294">
        <v>78319.689999999988</v>
      </c>
      <c r="BB78" s="294">
        <v>0</v>
      </c>
      <c r="BC78" s="294">
        <v>0</v>
      </c>
      <c r="BD78" s="294">
        <v>0</v>
      </c>
      <c r="BE78" s="294">
        <v>1353945.1199999999</v>
      </c>
      <c r="BF78" s="294">
        <v>-605549.74000000022</v>
      </c>
      <c r="BG78" s="294">
        <v>-8286.559999999823</v>
      </c>
      <c r="BH78" s="294">
        <v>-613836.30000000005</v>
      </c>
      <c r="BI78" s="294">
        <v>0</v>
      </c>
      <c r="BJ78" s="294">
        <v>0</v>
      </c>
      <c r="BK78" s="294">
        <v>0</v>
      </c>
      <c r="BL78" s="294">
        <v>0</v>
      </c>
      <c r="BM78" s="294">
        <v>0</v>
      </c>
      <c r="BN78" s="294">
        <v>0</v>
      </c>
      <c r="BO78" s="294">
        <v>0</v>
      </c>
      <c r="BP78" s="294">
        <v>0</v>
      </c>
      <c r="BQ78" s="294">
        <v>0</v>
      </c>
      <c r="BR78" s="294">
        <v>0</v>
      </c>
      <c r="BS78" s="294">
        <v>0</v>
      </c>
      <c r="BT78" s="294">
        <v>0</v>
      </c>
      <c r="BU78" s="294">
        <v>0</v>
      </c>
      <c r="BV78" s="294">
        <v>0</v>
      </c>
      <c r="BW78" s="294">
        <v>0</v>
      </c>
      <c r="BX78" s="294">
        <v>0</v>
      </c>
      <c r="BY78" s="294">
        <v>0</v>
      </c>
      <c r="BZ78" s="294">
        <v>0</v>
      </c>
      <c r="CA78" s="294">
        <v>0</v>
      </c>
      <c r="CB78" s="294">
        <v>0</v>
      </c>
      <c r="CC78" s="294">
        <v>0</v>
      </c>
      <c r="CD78" s="294">
        <v>-613836.30000000005</v>
      </c>
      <c r="CE78" s="294">
        <v>0</v>
      </c>
      <c r="CF78" s="294">
        <v>0</v>
      </c>
      <c r="CG78" s="294">
        <v>0</v>
      </c>
      <c r="CH78" s="294">
        <v>0</v>
      </c>
      <c r="CI78" s="294">
        <f t="shared" si="1"/>
        <v>-613836.30000000005</v>
      </c>
      <c r="CJ78" s="294">
        <v>0</v>
      </c>
      <c r="CK78" s="294">
        <v>0</v>
      </c>
      <c r="CL78" s="294">
        <v>0</v>
      </c>
      <c r="CM78" s="294">
        <v>0</v>
      </c>
      <c r="CN78" s="294">
        <v>0</v>
      </c>
      <c r="CO78" s="294">
        <v>0</v>
      </c>
      <c r="CP78" s="294">
        <v>0</v>
      </c>
      <c r="CQ78" s="294">
        <v>0</v>
      </c>
      <c r="CR78" s="294">
        <v>0</v>
      </c>
      <c r="CS78" s="294">
        <v>0</v>
      </c>
      <c r="CT78" s="294">
        <v>0</v>
      </c>
      <c r="CU78" s="294">
        <v>0</v>
      </c>
      <c r="CV78" s="294">
        <v>0</v>
      </c>
      <c r="CW78" s="294">
        <v>0</v>
      </c>
      <c r="CX78" s="294"/>
      <c r="CY78" s="294"/>
      <c r="CZ78" s="294"/>
      <c r="DA78" s="294">
        <v>-613710.30000000005</v>
      </c>
      <c r="DB78" s="294">
        <v>-613710.30000000005</v>
      </c>
      <c r="DC78" s="294">
        <v>0</v>
      </c>
      <c r="DD78" s="294">
        <v>0</v>
      </c>
      <c r="DE78" s="294">
        <v>0</v>
      </c>
      <c r="DF78" s="294">
        <v>0</v>
      </c>
      <c r="DG78" s="294">
        <v>0</v>
      </c>
      <c r="DH78" s="294">
        <v>-126</v>
      </c>
      <c r="DI78" s="294">
        <v>0</v>
      </c>
      <c r="DJ78" s="294">
        <v>0</v>
      </c>
      <c r="DK78" s="294">
        <v>-126</v>
      </c>
      <c r="DL78" s="294">
        <v>0</v>
      </c>
      <c r="DM78" s="294">
        <v>0</v>
      </c>
      <c r="DN78" s="294">
        <v>0</v>
      </c>
      <c r="DO78" s="294">
        <v>0</v>
      </c>
      <c r="DP78" s="294">
        <v>0</v>
      </c>
      <c r="DQ78" s="324">
        <v>0</v>
      </c>
      <c r="DR78" s="295">
        <v>893967.72999999986</v>
      </c>
      <c r="DS78" s="325">
        <v>459977.39</v>
      </c>
      <c r="DT78" s="295">
        <v>165229.26999999999</v>
      </c>
      <c r="DU78" s="295">
        <v>27442.04</v>
      </c>
      <c r="DV78" s="295">
        <v>0</v>
      </c>
      <c r="DW78" s="295">
        <v>0</v>
      </c>
    </row>
    <row r="79" spans="1:127">
      <c r="A79" s="321">
        <v>2099</v>
      </c>
      <c r="B79" s="322" t="s">
        <v>497</v>
      </c>
      <c r="C79" s="321">
        <v>2099</v>
      </c>
      <c r="D79" s="323" t="s">
        <v>817</v>
      </c>
      <c r="E79" s="323" t="s">
        <v>539</v>
      </c>
      <c r="F79" s="323" t="s">
        <v>818</v>
      </c>
      <c r="G79" s="323" t="s">
        <v>537</v>
      </c>
      <c r="H79" s="294">
        <v>1535898.12</v>
      </c>
      <c r="I79" s="294">
        <v>0</v>
      </c>
      <c r="J79" s="294">
        <v>139135.32999999999</v>
      </c>
      <c r="K79" s="294">
        <v>0</v>
      </c>
      <c r="L79" s="294">
        <v>176330</v>
      </c>
      <c r="M79" s="294">
        <v>800</v>
      </c>
      <c r="N79" s="294">
        <v>0</v>
      </c>
      <c r="O79" s="294">
        <v>0</v>
      </c>
      <c r="P79" s="294">
        <v>21717.980000000003</v>
      </c>
      <c r="Q79" s="294">
        <v>2581</v>
      </c>
      <c r="R79" s="294">
        <v>0</v>
      </c>
      <c r="S79" s="294">
        <v>0</v>
      </c>
      <c r="T79" s="294">
        <v>0</v>
      </c>
      <c r="U79" s="294">
        <v>0</v>
      </c>
      <c r="V79" s="294">
        <v>0</v>
      </c>
      <c r="W79" s="294">
        <v>2836.13</v>
      </c>
      <c r="X79" s="294">
        <v>38266</v>
      </c>
      <c r="Y79" s="294">
        <v>1917564.56</v>
      </c>
      <c r="Z79" s="294">
        <v>1056806.4500000002</v>
      </c>
      <c r="AA79" s="294">
        <v>0</v>
      </c>
      <c r="AB79" s="294">
        <v>263550.07</v>
      </c>
      <c r="AC79" s="294">
        <v>79531.02999999997</v>
      </c>
      <c r="AD79" s="294">
        <v>89249.82</v>
      </c>
      <c r="AE79" s="294">
        <v>50599.3</v>
      </c>
      <c r="AF79" s="294">
        <v>39999.719999999623</v>
      </c>
      <c r="AG79" s="294">
        <v>5954.6699999999855</v>
      </c>
      <c r="AH79" s="294">
        <v>12822.099999999999</v>
      </c>
      <c r="AI79" s="294">
        <v>0</v>
      </c>
      <c r="AJ79" s="294">
        <v>0</v>
      </c>
      <c r="AK79" s="294">
        <v>38811.950000000004</v>
      </c>
      <c r="AL79" s="294">
        <v>1904</v>
      </c>
      <c r="AM79" s="294">
        <v>3878.07</v>
      </c>
      <c r="AN79" s="294">
        <v>5122.33</v>
      </c>
      <c r="AO79" s="294">
        <v>24775.179999999997</v>
      </c>
      <c r="AP79" s="294">
        <v>15883.6</v>
      </c>
      <c r="AQ79" s="294">
        <v>10062.530000000001</v>
      </c>
      <c r="AR79" s="294">
        <v>46103.829999999973</v>
      </c>
      <c r="AS79" s="294">
        <v>67991.26999999999</v>
      </c>
      <c r="AT79" s="294">
        <v>0</v>
      </c>
      <c r="AU79" s="294">
        <v>11141.269999999997</v>
      </c>
      <c r="AV79" s="294">
        <v>7368.3899999999994</v>
      </c>
      <c r="AW79" s="294">
        <v>540</v>
      </c>
      <c r="AX79" s="294">
        <v>25711.999999999993</v>
      </c>
      <c r="AY79" s="294">
        <v>27832.68</v>
      </c>
      <c r="AZ79" s="294">
        <v>38126.78</v>
      </c>
      <c r="BA79" s="294">
        <v>55390.31</v>
      </c>
      <c r="BB79" s="294">
        <v>0</v>
      </c>
      <c r="BC79" s="294">
        <v>0</v>
      </c>
      <c r="BD79" s="294">
        <v>0</v>
      </c>
      <c r="BE79" s="294">
        <v>1979157.3500000003</v>
      </c>
      <c r="BF79" s="294">
        <v>272057.28999999992</v>
      </c>
      <c r="BG79" s="294">
        <v>-61592.79000000027</v>
      </c>
      <c r="BH79" s="294">
        <v>210464.49999999965</v>
      </c>
      <c r="BI79" s="294">
        <v>6484</v>
      </c>
      <c r="BJ79" s="294">
        <v>0</v>
      </c>
      <c r="BK79" s="294">
        <v>0</v>
      </c>
      <c r="BL79" s="294">
        <v>6484</v>
      </c>
      <c r="BM79" s="294">
        <v>0</v>
      </c>
      <c r="BN79" s="294">
        <v>11761</v>
      </c>
      <c r="BO79" s="294">
        <v>0</v>
      </c>
      <c r="BP79" s="294">
        <v>0</v>
      </c>
      <c r="BQ79" s="294">
        <v>11761</v>
      </c>
      <c r="BR79" s="294">
        <v>7586.25</v>
      </c>
      <c r="BS79" s="294">
        <v>-5277</v>
      </c>
      <c r="BT79" s="294">
        <v>2309.25</v>
      </c>
      <c r="BU79" s="294">
        <v>0</v>
      </c>
      <c r="BV79" s="294">
        <v>0</v>
      </c>
      <c r="BW79" s="294">
        <v>0</v>
      </c>
      <c r="BX79" s="294">
        <v>0</v>
      </c>
      <c r="BY79" s="294">
        <v>0</v>
      </c>
      <c r="BZ79" s="294">
        <v>0</v>
      </c>
      <c r="CA79" s="294">
        <v>0</v>
      </c>
      <c r="CB79" s="294">
        <v>0</v>
      </c>
      <c r="CC79" s="294">
        <v>0</v>
      </c>
      <c r="CD79" s="294">
        <v>210464.49999999965</v>
      </c>
      <c r="CE79" s="294">
        <v>0</v>
      </c>
      <c r="CF79" s="294">
        <v>2309.25</v>
      </c>
      <c r="CG79" s="294">
        <v>0</v>
      </c>
      <c r="CH79" s="294">
        <v>0</v>
      </c>
      <c r="CI79" s="294">
        <f t="shared" si="1"/>
        <v>212773.74999999965</v>
      </c>
      <c r="CJ79" s="294">
        <v>343162.77</v>
      </c>
      <c r="CK79" s="294">
        <v>0</v>
      </c>
      <c r="CL79" s="294">
        <v>3130</v>
      </c>
      <c r="CM79" s="294">
        <v>346292.77</v>
      </c>
      <c r="CN79" s="294">
        <v>0</v>
      </c>
      <c r="CO79" s="294">
        <v>0</v>
      </c>
      <c r="CP79" s="294">
        <v>1312</v>
      </c>
      <c r="CQ79" s="294">
        <v>0</v>
      </c>
      <c r="CR79" s="294">
        <v>-136940</v>
      </c>
      <c r="CS79" s="294">
        <v>210664.77000000002</v>
      </c>
      <c r="CT79" s="294">
        <v>2601.96</v>
      </c>
      <c r="CU79" s="294">
        <v>0</v>
      </c>
      <c r="CV79" s="294">
        <v>0</v>
      </c>
      <c r="CW79" s="294">
        <v>2601.96</v>
      </c>
      <c r="CX79" s="294"/>
      <c r="CY79" s="294"/>
      <c r="CZ79" s="294"/>
      <c r="DA79" s="294">
        <v>0</v>
      </c>
      <c r="DB79" s="294">
        <v>2601.96</v>
      </c>
      <c r="DC79" s="294">
        <v>0</v>
      </c>
      <c r="DD79" s="294">
        <v>8337.09</v>
      </c>
      <c r="DE79" s="294">
        <v>0</v>
      </c>
      <c r="DF79" s="294">
        <v>0</v>
      </c>
      <c r="DG79" s="294">
        <v>-7755.62</v>
      </c>
      <c r="DH79" s="294">
        <v>0</v>
      </c>
      <c r="DI79" s="294">
        <v>0</v>
      </c>
      <c r="DJ79" s="294">
        <v>0</v>
      </c>
      <c r="DK79" s="294">
        <v>581.47000000000025</v>
      </c>
      <c r="DL79" s="294">
        <v>0</v>
      </c>
      <c r="DM79" s="294">
        <v>0</v>
      </c>
      <c r="DN79" s="294">
        <v>-1074</v>
      </c>
      <c r="DO79" s="294">
        <v>0</v>
      </c>
      <c r="DP79" s="294">
        <v>0</v>
      </c>
      <c r="DQ79" s="324">
        <v>-0.45000000001164153</v>
      </c>
      <c r="DR79" s="295">
        <v>1585691.06</v>
      </c>
      <c r="DS79" s="325">
        <v>393466.29000000027</v>
      </c>
      <c r="DT79" s="295">
        <v>27832.68</v>
      </c>
      <c r="DU79" s="295">
        <v>24298.980000000003</v>
      </c>
      <c r="DV79" s="295">
        <v>0</v>
      </c>
      <c r="DW79" s="295">
        <v>-1074</v>
      </c>
    </row>
    <row r="80" spans="1:127">
      <c r="A80" s="321">
        <v>1010</v>
      </c>
      <c r="B80" s="322" t="s">
        <v>422</v>
      </c>
      <c r="C80" s="321">
        <v>1010</v>
      </c>
      <c r="D80" s="323" t="s">
        <v>817</v>
      </c>
      <c r="E80" s="323" t="s">
        <v>536</v>
      </c>
      <c r="F80" s="323" t="s">
        <v>818</v>
      </c>
      <c r="G80" s="323" t="s">
        <v>537</v>
      </c>
      <c r="H80" s="294">
        <v>971712.42</v>
      </c>
      <c r="I80" s="294">
        <v>0</v>
      </c>
      <c r="J80" s="294">
        <v>36145.61</v>
      </c>
      <c r="K80" s="294">
        <v>0</v>
      </c>
      <c r="L80" s="294">
        <v>0</v>
      </c>
      <c r="M80" s="294">
        <v>0</v>
      </c>
      <c r="N80" s="294">
        <v>0</v>
      </c>
      <c r="O80" s="294">
        <v>0</v>
      </c>
      <c r="P80" s="294">
        <v>83907.32</v>
      </c>
      <c r="Q80" s="294">
        <v>0</v>
      </c>
      <c r="R80" s="294">
        <v>0</v>
      </c>
      <c r="S80" s="294">
        <v>0</v>
      </c>
      <c r="T80" s="294">
        <v>1516</v>
      </c>
      <c r="U80" s="294">
        <v>43011.19</v>
      </c>
      <c r="V80" s="294">
        <v>0</v>
      </c>
      <c r="W80" s="294">
        <v>0</v>
      </c>
      <c r="X80" s="294">
        <v>0</v>
      </c>
      <c r="Y80" s="294">
        <v>1136292.54</v>
      </c>
      <c r="Z80" s="294">
        <v>248198.83000000007</v>
      </c>
      <c r="AA80" s="294">
        <v>0</v>
      </c>
      <c r="AB80" s="294">
        <v>224411.61</v>
      </c>
      <c r="AC80" s="294">
        <v>0</v>
      </c>
      <c r="AD80" s="294">
        <v>47521.1</v>
      </c>
      <c r="AE80" s="294">
        <v>0</v>
      </c>
      <c r="AF80" s="294">
        <v>0</v>
      </c>
      <c r="AG80" s="294">
        <v>6150.2900000000045</v>
      </c>
      <c r="AH80" s="294">
        <v>3147.51</v>
      </c>
      <c r="AI80" s="294">
        <v>0</v>
      </c>
      <c r="AJ80" s="294">
        <v>0</v>
      </c>
      <c r="AK80" s="294">
        <v>14844.799999999996</v>
      </c>
      <c r="AL80" s="294">
        <v>12575.52</v>
      </c>
      <c r="AM80" s="294">
        <v>1747.92</v>
      </c>
      <c r="AN80" s="294">
        <v>526.73</v>
      </c>
      <c r="AO80" s="294">
        <v>8318.9500000000007</v>
      </c>
      <c r="AP80" s="294">
        <v>0</v>
      </c>
      <c r="AQ80" s="294">
        <v>17479.809999999998</v>
      </c>
      <c r="AR80" s="294">
        <v>35973.660000000003</v>
      </c>
      <c r="AS80" s="294">
        <v>0.03</v>
      </c>
      <c r="AT80" s="294">
        <v>0</v>
      </c>
      <c r="AU80" s="294">
        <v>75760.489999999976</v>
      </c>
      <c r="AV80" s="294">
        <v>3291.75</v>
      </c>
      <c r="AW80" s="294">
        <v>0</v>
      </c>
      <c r="AX80" s="294">
        <v>7104.42</v>
      </c>
      <c r="AY80" s="294">
        <v>117925.15</v>
      </c>
      <c r="AZ80" s="294">
        <v>4637.49</v>
      </c>
      <c r="BA80" s="294">
        <v>305455.76</v>
      </c>
      <c r="BB80" s="294">
        <v>0</v>
      </c>
      <c r="BC80" s="294">
        <v>0</v>
      </c>
      <c r="BD80" s="294">
        <v>0</v>
      </c>
      <c r="BE80" s="294">
        <v>1135071.8200000003</v>
      </c>
      <c r="BF80" s="294">
        <v>468903.78</v>
      </c>
      <c r="BG80" s="294">
        <v>1220.7199999997392</v>
      </c>
      <c r="BH80" s="294">
        <v>470124.49999999977</v>
      </c>
      <c r="BI80" s="294">
        <v>5194.75</v>
      </c>
      <c r="BJ80" s="294">
        <v>0</v>
      </c>
      <c r="BK80" s="294">
        <v>0</v>
      </c>
      <c r="BL80" s="294">
        <v>5194.75</v>
      </c>
      <c r="BM80" s="294">
        <v>0</v>
      </c>
      <c r="BN80" s="294">
        <v>0</v>
      </c>
      <c r="BO80" s="294">
        <v>0</v>
      </c>
      <c r="BP80" s="294">
        <v>0</v>
      </c>
      <c r="BQ80" s="294">
        <v>0</v>
      </c>
      <c r="BR80" s="294">
        <v>0</v>
      </c>
      <c r="BS80" s="294">
        <v>5194.75</v>
      </c>
      <c r="BT80" s="294">
        <v>5194.75</v>
      </c>
      <c r="BU80" s="294">
        <v>0</v>
      </c>
      <c r="BV80" s="294">
        <v>0</v>
      </c>
      <c r="BW80" s="294">
        <v>0</v>
      </c>
      <c r="BX80" s="294">
        <v>0</v>
      </c>
      <c r="BY80" s="294">
        <v>0</v>
      </c>
      <c r="BZ80" s="294">
        <v>0</v>
      </c>
      <c r="CA80" s="294">
        <v>0</v>
      </c>
      <c r="CB80" s="294">
        <v>0</v>
      </c>
      <c r="CC80" s="294">
        <v>0</v>
      </c>
      <c r="CD80" s="294">
        <v>470124.49999999977</v>
      </c>
      <c r="CE80" s="294">
        <v>0</v>
      </c>
      <c r="CF80" s="294">
        <v>5194.75</v>
      </c>
      <c r="CG80" s="294">
        <v>0</v>
      </c>
      <c r="CH80" s="294">
        <v>0</v>
      </c>
      <c r="CI80" s="294">
        <f t="shared" si="1"/>
        <v>475319.24999999977</v>
      </c>
      <c r="CJ80" s="294">
        <v>540418.16</v>
      </c>
      <c r="CK80" s="294">
        <v>0</v>
      </c>
      <c r="CL80" s="294">
        <v>0</v>
      </c>
      <c r="CM80" s="294">
        <v>540418.16</v>
      </c>
      <c r="CN80" s="294">
        <v>0</v>
      </c>
      <c r="CO80" s="294">
        <v>0</v>
      </c>
      <c r="CP80" s="294">
        <v>0</v>
      </c>
      <c r="CQ80" s="294">
        <v>0</v>
      </c>
      <c r="CR80" s="294">
        <v>11623.2</v>
      </c>
      <c r="CS80" s="294">
        <v>552041.36</v>
      </c>
      <c r="CT80" s="294">
        <v>0</v>
      </c>
      <c r="CU80" s="294">
        <v>0</v>
      </c>
      <c r="CV80" s="294">
        <v>0</v>
      </c>
      <c r="CW80" s="294">
        <v>0</v>
      </c>
      <c r="CX80" s="294"/>
      <c r="CY80" s="294"/>
      <c r="CZ80" s="294"/>
      <c r="DA80" s="294">
        <v>0</v>
      </c>
      <c r="DB80" s="294">
        <v>0</v>
      </c>
      <c r="DC80" s="294">
        <v>0</v>
      </c>
      <c r="DD80" s="294">
        <v>16407.25</v>
      </c>
      <c r="DE80" s="294">
        <v>0</v>
      </c>
      <c r="DF80" s="294">
        <v>0</v>
      </c>
      <c r="DG80" s="294">
        <v>-93129.36</v>
      </c>
      <c r="DH80" s="294">
        <v>0</v>
      </c>
      <c r="DI80" s="294">
        <v>0</v>
      </c>
      <c r="DJ80" s="294">
        <v>0</v>
      </c>
      <c r="DK80" s="294">
        <v>-76722.11</v>
      </c>
      <c r="DL80" s="294">
        <v>0</v>
      </c>
      <c r="DM80" s="294">
        <v>0</v>
      </c>
      <c r="DN80" s="294">
        <v>0</v>
      </c>
      <c r="DO80" s="294">
        <v>0</v>
      </c>
      <c r="DP80" s="294">
        <v>0</v>
      </c>
      <c r="DQ80" s="324">
        <v>0</v>
      </c>
      <c r="DR80" s="295">
        <v>526281.83000000007</v>
      </c>
      <c r="DS80" s="325">
        <v>608789.99000000022</v>
      </c>
      <c r="DT80" s="295">
        <v>117925.15</v>
      </c>
      <c r="DU80" s="295">
        <v>85423.32</v>
      </c>
      <c r="DV80" s="295">
        <v>43011.19</v>
      </c>
      <c r="DW80" s="295">
        <v>0</v>
      </c>
    </row>
    <row r="81" spans="1:127">
      <c r="A81" s="321">
        <v>1021</v>
      </c>
      <c r="B81" s="322" t="s">
        <v>392</v>
      </c>
      <c r="C81" s="321">
        <v>1021</v>
      </c>
      <c r="D81" s="323" t="s">
        <v>817</v>
      </c>
      <c r="E81" s="323" t="s">
        <v>536</v>
      </c>
      <c r="F81" s="323" t="s">
        <v>818</v>
      </c>
      <c r="G81" s="323" t="s">
        <v>537</v>
      </c>
      <c r="H81" s="294">
        <v>423680.24</v>
      </c>
      <c r="I81" s="294">
        <v>0</v>
      </c>
      <c r="J81" s="294">
        <v>34581.629999999997</v>
      </c>
      <c r="K81" s="294">
        <v>0</v>
      </c>
      <c r="L81" s="294">
        <v>0</v>
      </c>
      <c r="M81" s="294">
        <v>93072</v>
      </c>
      <c r="N81" s="294">
        <v>0</v>
      </c>
      <c r="O81" s="294">
        <v>0</v>
      </c>
      <c r="P81" s="294">
        <v>70549.470000000016</v>
      </c>
      <c r="Q81" s="294">
        <v>184</v>
      </c>
      <c r="R81" s="294">
        <v>0</v>
      </c>
      <c r="S81" s="294">
        <v>0</v>
      </c>
      <c r="T81" s="294">
        <v>2883</v>
      </c>
      <c r="U81" s="294">
        <v>22000</v>
      </c>
      <c r="V81" s="294">
        <v>0</v>
      </c>
      <c r="W81" s="294">
        <v>0</v>
      </c>
      <c r="X81" s="294">
        <v>0</v>
      </c>
      <c r="Y81" s="294">
        <v>646950.34</v>
      </c>
      <c r="Z81" s="294">
        <v>128362.50999999994</v>
      </c>
      <c r="AA81" s="294">
        <v>171.77</v>
      </c>
      <c r="AB81" s="294">
        <v>2210.1899999999996</v>
      </c>
      <c r="AC81" s="294">
        <v>112898.8299999999</v>
      </c>
      <c r="AD81" s="294">
        <v>23.159999999999997</v>
      </c>
      <c r="AE81" s="294">
        <v>0</v>
      </c>
      <c r="AF81" s="294">
        <v>110662.86999999995</v>
      </c>
      <c r="AG81" s="294">
        <v>-4486.9500000000016</v>
      </c>
      <c r="AH81" s="294">
        <v>565</v>
      </c>
      <c r="AI81" s="294">
        <v>0</v>
      </c>
      <c r="AJ81" s="294">
        <v>0</v>
      </c>
      <c r="AK81" s="294">
        <v>4297.91</v>
      </c>
      <c r="AL81" s="294">
        <v>0</v>
      </c>
      <c r="AM81" s="294">
        <v>6131.4099999999989</v>
      </c>
      <c r="AN81" s="294">
        <v>1013.7200000000001</v>
      </c>
      <c r="AO81" s="294">
        <v>9549.4800000000014</v>
      </c>
      <c r="AP81" s="294">
        <v>0</v>
      </c>
      <c r="AQ81" s="294">
        <v>9074.3799999999974</v>
      </c>
      <c r="AR81" s="294">
        <v>43165.919999999998</v>
      </c>
      <c r="AS81" s="294">
        <v>12753.549999999997</v>
      </c>
      <c r="AT81" s="294">
        <v>0</v>
      </c>
      <c r="AU81" s="294">
        <v>1597.6699999999998</v>
      </c>
      <c r="AV81" s="294">
        <v>0</v>
      </c>
      <c r="AW81" s="294">
        <v>0</v>
      </c>
      <c r="AX81" s="294">
        <v>2855.5099999999998</v>
      </c>
      <c r="AY81" s="294">
        <v>77304.620000000039</v>
      </c>
      <c r="AZ81" s="294">
        <v>0</v>
      </c>
      <c r="BA81" s="294">
        <v>27301.219999999998</v>
      </c>
      <c r="BB81" s="294">
        <v>0</v>
      </c>
      <c r="BC81" s="294">
        <v>0</v>
      </c>
      <c r="BD81" s="294">
        <v>0</v>
      </c>
      <c r="BE81" s="294">
        <v>545452.76999999967</v>
      </c>
      <c r="BF81" s="294">
        <v>17668.729999999981</v>
      </c>
      <c r="BG81" s="294">
        <v>101497.5700000003</v>
      </c>
      <c r="BH81" s="294">
        <v>119166.30000000028</v>
      </c>
      <c r="BI81" s="294">
        <v>4425.25</v>
      </c>
      <c r="BJ81" s="294">
        <v>0</v>
      </c>
      <c r="BK81" s="294">
        <v>0</v>
      </c>
      <c r="BL81" s="294">
        <v>4425.25</v>
      </c>
      <c r="BM81" s="294">
        <v>0</v>
      </c>
      <c r="BN81" s="294">
        <v>2484.5</v>
      </c>
      <c r="BO81" s="294">
        <v>0</v>
      </c>
      <c r="BP81" s="294">
        <v>0</v>
      </c>
      <c r="BQ81" s="294">
        <v>2484.5</v>
      </c>
      <c r="BR81" s="294">
        <v>9753.5600000000013</v>
      </c>
      <c r="BS81" s="294">
        <v>1940.75</v>
      </c>
      <c r="BT81" s="294">
        <v>11694.310000000001</v>
      </c>
      <c r="BU81" s="294">
        <v>0</v>
      </c>
      <c r="BV81" s="294">
        <v>0</v>
      </c>
      <c r="BW81" s="294">
        <v>0</v>
      </c>
      <c r="BX81" s="294">
        <v>0</v>
      </c>
      <c r="BY81" s="294">
        <v>0</v>
      </c>
      <c r="BZ81" s="294">
        <v>0</v>
      </c>
      <c r="CA81" s="294">
        <v>0</v>
      </c>
      <c r="CB81" s="294">
        <v>0</v>
      </c>
      <c r="CC81" s="294">
        <v>0</v>
      </c>
      <c r="CD81" s="294">
        <v>119166.30000000028</v>
      </c>
      <c r="CE81" s="294">
        <v>0</v>
      </c>
      <c r="CF81" s="294">
        <v>11694.310000000001</v>
      </c>
      <c r="CG81" s="294">
        <v>0</v>
      </c>
      <c r="CH81" s="294">
        <v>0</v>
      </c>
      <c r="CI81" s="294">
        <f t="shared" si="1"/>
        <v>130860.61000000028</v>
      </c>
      <c r="CJ81" s="294">
        <v>148204.17000000001</v>
      </c>
      <c r="CK81" s="294">
        <v>0</v>
      </c>
      <c r="CL81" s="294">
        <v>0</v>
      </c>
      <c r="CM81" s="294">
        <v>148204.17000000001</v>
      </c>
      <c r="CN81" s="294">
        <v>0</v>
      </c>
      <c r="CO81" s="294">
        <v>0</v>
      </c>
      <c r="CP81" s="294">
        <v>3000.9300000000003</v>
      </c>
      <c r="CQ81" s="294">
        <v>0</v>
      </c>
      <c r="CR81" s="294">
        <v>-21529.43</v>
      </c>
      <c r="CS81" s="294">
        <v>129675.67000000001</v>
      </c>
      <c r="CT81" s="294">
        <v>0</v>
      </c>
      <c r="CU81" s="294">
        <v>0</v>
      </c>
      <c r="CV81" s="294">
        <v>0</v>
      </c>
      <c r="CW81" s="294">
        <v>0</v>
      </c>
      <c r="CX81" s="294"/>
      <c r="CY81" s="294"/>
      <c r="CZ81" s="294"/>
      <c r="DA81" s="294">
        <v>0</v>
      </c>
      <c r="DB81" s="294">
        <v>0</v>
      </c>
      <c r="DC81" s="294">
        <v>0</v>
      </c>
      <c r="DD81" s="294">
        <v>1184.94</v>
      </c>
      <c r="DE81" s="294">
        <v>0</v>
      </c>
      <c r="DF81" s="294">
        <v>0</v>
      </c>
      <c r="DG81" s="294">
        <v>0</v>
      </c>
      <c r="DH81" s="294">
        <v>0</v>
      </c>
      <c r="DI81" s="294">
        <v>0</v>
      </c>
      <c r="DJ81" s="294">
        <v>0</v>
      </c>
      <c r="DK81" s="294">
        <v>1184.94</v>
      </c>
      <c r="DL81" s="294">
        <v>0</v>
      </c>
      <c r="DM81" s="294">
        <v>0</v>
      </c>
      <c r="DN81" s="294">
        <v>0</v>
      </c>
      <c r="DO81" s="294">
        <v>0</v>
      </c>
      <c r="DP81" s="294">
        <v>0</v>
      </c>
      <c r="DQ81" s="324">
        <v>0</v>
      </c>
      <c r="DR81" s="295">
        <v>349842.37999999977</v>
      </c>
      <c r="DS81" s="325">
        <v>195610.3899999999</v>
      </c>
      <c r="DT81" s="295">
        <v>77304.620000000039</v>
      </c>
      <c r="DU81" s="295">
        <v>73616.470000000016</v>
      </c>
      <c r="DV81" s="295">
        <v>22000</v>
      </c>
      <c r="DW81" s="295">
        <v>0</v>
      </c>
    </row>
    <row r="82" spans="1:127">
      <c r="A82" s="321">
        <v>4201</v>
      </c>
      <c r="B82" s="322" t="s">
        <v>354</v>
      </c>
      <c r="C82" s="321">
        <v>4201</v>
      </c>
      <c r="D82" s="323" t="s">
        <v>817</v>
      </c>
      <c r="E82" s="323" t="s">
        <v>543</v>
      </c>
      <c r="F82" s="323" t="s">
        <v>818</v>
      </c>
      <c r="G82" s="323" t="s">
        <v>537</v>
      </c>
      <c r="H82" s="294">
        <v>9510413.8599999994</v>
      </c>
      <c r="I82" s="294">
        <v>0</v>
      </c>
      <c r="J82" s="294">
        <v>71797.649999999994</v>
      </c>
      <c r="K82" s="294">
        <v>0</v>
      </c>
      <c r="L82" s="294">
        <v>610450.04</v>
      </c>
      <c r="M82" s="294">
        <v>24341.58</v>
      </c>
      <c r="N82" s="294">
        <v>0</v>
      </c>
      <c r="O82" s="294">
        <v>96652</v>
      </c>
      <c r="P82" s="294">
        <v>109246</v>
      </c>
      <c r="Q82" s="294">
        <v>200092</v>
      </c>
      <c r="R82" s="294">
        <v>0</v>
      </c>
      <c r="S82" s="294">
        <v>0</v>
      </c>
      <c r="T82" s="294">
        <v>7559</v>
      </c>
      <c r="U82" s="294">
        <v>0</v>
      </c>
      <c r="V82" s="294">
        <v>0</v>
      </c>
      <c r="W82" s="294">
        <v>44923.88</v>
      </c>
      <c r="X82" s="294">
        <v>0</v>
      </c>
      <c r="Y82" s="294">
        <v>10675476.010000002</v>
      </c>
      <c r="Z82" s="294">
        <v>5830391</v>
      </c>
      <c r="AA82" s="294">
        <v>0</v>
      </c>
      <c r="AB82" s="294">
        <v>1205256</v>
      </c>
      <c r="AC82" s="294">
        <v>210786</v>
      </c>
      <c r="AD82" s="294">
        <v>545330</v>
      </c>
      <c r="AE82" s="294">
        <v>0</v>
      </c>
      <c r="AF82" s="294">
        <v>29462</v>
      </c>
      <c r="AG82" s="294">
        <v>32296</v>
      </c>
      <c r="AH82" s="294">
        <v>59014</v>
      </c>
      <c r="AI82" s="294">
        <v>0</v>
      </c>
      <c r="AJ82" s="294">
        <v>0</v>
      </c>
      <c r="AK82" s="294">
        <v>222422</v>
      </c>
      <c r="AL82" s="294">
        <v>24763</v>
      </c>
      <c r="AM82" s="294">
        <v>226289</v>
      </c>
      <c r="AN82" s="294">
        <v>15769</v>
      </c>
      <c r="AO82" s="294">
        <v>214240.47</v>
      </c>
      <c r="AP82" s="294">
        <v>176330.4</v>
      </c>
      <c r="AQ82" s="294">
        <v>108743</v>
      </c>
      <c r="AR82" s="294">
        <v>108053.78</v>
      </c>
      <c r="AS82" s="294">
        <v>216455.96</v>
      </c>
      <c r="AT82" s="294">
        <v>158775</v>
      </c>
      <c r="AU82" s="294">
        <v>200350.65</v>
      </c>
      <c r="AV82" s="294">
        <v>36599.919999999998</v>
      </c>
      <c r="AW82" s="294">
        <v>0</v>
      </c>
      <c r="AX82" s="294">
        <v>363121</v>
      </c>
      <c r="AY82" s="294">
        <v>77763</v>
      </c>
      <c r="AZ82" s="294">
        <v>230866</v>
      </c>
      <c r="BA82" s="294">
        <v>148525</v>
      </c>
      <c r="BB82" s="294">
        <v>0</v>
      </c>
      <c r="BC82" s="294">
        <v>0</v>
      </c>
      <c r="BD82" s="294">
        <v>0</v>
      </c>
      <c r="BE82" s="294">
        <v>10441602.180000002</v>
      </c>
      <c r="BF82" s="294">
        <v>2228245.3800000018</v>
      </c>
      <c r="BG82" s="294">
        <v>233873.83000000007</v>
      </c>
      <c r="BH82" s="294">
        <v>2462119.2100000018</v>
      </c>
      <c r="BI82" s="294">
        <v>24562.19</v>
      </c>
      <c r="BJ82" s="294">
        <v>0</v>
      </c>
      <c r="BK82" s="294">
        <v>0</v>
      </c>
      <c r="BL82" s="294">
        <v>24562.19</v>
      </c>
      <c r="BM82" s="294">
        <v>0</v>
      </c>
      <c r="BN82" s="294">
        <v>23800</v>
      </c>
      <c r="BO82" s="294">
        <v>10466.219999999999</v>
      </c>
      <c r="BP82" s="294">
        <v>0</v>
      </c>
      <c r="BQ82" s="294">
        <v>34266.22</v>
      </c>
      <c r="BR82" s="294">
        <v>24491.869999999995</v>
      </c>
      <c r="BS82" s="294">
        <v>-9704.0300000000025</v>
      </c>
      <c r="BT82" s="294">
        <v>14787.839999999993</v>
      </c>
      <c r="BU82" s="294">
        <v>0</v>
      </c>
      <c r="BV82" s="294">
        <v>0</v>
      </c>
      <c r="BW82" s="294">
        <v>0</v>
      </c>
      <c r="BX82" s="294">
        <v>0</v>
      </c>
      <c r="BY82" s="294">
        <v>0</v>
      </c>
      <c r="BZ82" s="294">
        <v>0</v>
      </c>
      <c r="CA82" s="294">
        <v>0</v>
      </c>
      <c r="CB82" s="294">
        <v>0</v>
      </c>
      <c r="CC82" s="294">
        <v>0</v>
      </c>
      <c r="CD82" s="294">
        <v>2462119.2100000018</v>
      </c>
      <c r="CE82" s="294">
        <v>0</v>
      </c>
      <c r="CF82" s="294">
        <v>14787.839999999993</v>
      </c>
      <c r="CG82" s="294">
        <v>0</v>
      </c>
      <c r="CH82" s="294">
        <v>0</v>
      </c>
      <c r="CI82" s="294">
        <f t="shared" si="1"/>
        <v>2476907.0500000017</v>
      </c>
      <c r="CJ82" s="294">
        <v>3261966.3</v>
      </c>
      <c r="CK82" s="294">
        <v>710252.04</v>
      </c>
      <c r="CL82" s="294">
        <v>888.55</v>
      </c>
      <c r="CM82" s="294">
        <v>2552602.8099999996</v>
      </c>
      <c r="CN82" s="294">
        <v>0</v>
      </c>
      <c r="CO82" s="294">
        <v>0</v>
      </c>
      <c r="CP82" s="294">
        <v>37830.839999999997</v>
      </c>
      <c r="CQ82" s="294">
        <v>0</v>
      </c>
      <c r="CR82" s="294">
        <v>0</v>
      </c>
      <c r="CS82" s="294">
        <v>2590433.6499999994</v>
      </c>
      <c r="CT82" s="294">
        <v>0</v>
      </c>
      <c r="CU82" s="294">
        <v>0</v>
      </c>
      <c r="CV82" s="294">
        <v>0</v>
      </c>
      <c r="CW82" s="294">
        <v>0</v>
      </c>
      <c r="CX82" s="294"/>
      <c r="CY82" s="294"/>
      <c r="CZ82" s="294"/>
      <c r="DA82" s="294">
        <v>0</v>
      </c>
      <c r="DB82" s="294">
        <v>0</v>
      </c>
      <c r="DC82" s="294">
        <v>0</v>
      </c>
      <c r="DD82" s="294">
        <v>0</v>
      </c>
      <c r="DE82" s="294">
        <v>0</v>
      </c>
      <c r="DF82" s="294">
        <v>0</v>
      </c>
      <c r="DG82" s="294">
        <v>-113527.08</v>
      </c>
      <c r="DH82" s="294">
        <v>0</v>
      </c>
      <c r="DI82" s="294">
        <v>0</v>
      </c>
      <c r="DJ82" s="294">
        <v>0</v>
      </c>
      <c r="DK82" s="294">
        <v>-113527.08</v>
      </c>
      <c r="DL82" s="294">
        <v>0</v>
      </c>
      <c r="DM82" s="294">
        <v>0</v>
      </c>
      <c r="DN82" s="294">
        <v>0</v>
      </c>
      <c r="DO82" s="294">
        <v>0</v>
      </c>
      <c r="DP82" s="294">
        <v>0</v>
      </c>
      <c r="DQ82" s="324">
        <v>0.48000000044703484</v>
      </c>
      <c r="DR82" s="295">
        <v>7853521</v>
      </c>
      <c r="DS82" s="325">
        <v>2588081.1800000016</v>
      </c>
      <c r="DT82" s="295">
        <v>77763</v>
      </c>
      <c r="DU82" s="295">
        <v>413549</v>
      </c>
      <c r="DV82" s="295">
        <v>0</v>
      </c>
      <c r="DW82" s="295">
        <v>0</v>
      </c>
    </row>
    <row r="83" spans="1:127">
      <c r="A83" s="321">
        <v>4015</v>
      </c>
      <c r="B83" s="322" t="s">
        <v>355</v>
      </c>
      <c r="C83" s="321">
        <v>4015</v>
      </c>
      <c r="D83" s="323" t="s">
        <v>817</v>
      </c>
      <c r="E83" s="323" t="s">
        <v>543</v>
      </c>
      <c r="F83" s="323" t="s">
        <v>818</v>
      </c>
      <c r="G83" s="323" t="s">
        <v>537</v>
      </c>
      <c r="H83" s="294">
        <v>5697642.7199999997</v>
      </c>
      <c r="I83" s="294">
        <v>0</v>
      </c>
      <c r="J83" s="294">
        <v>40089.410000000003</v>
      </c>
      <c r="K83" s="294">
        <v>0</v>
      </c>
      <c r="L83" s="294">
        <v>341720</v>
      </c>
      <c r="M83" s="294">
        <v>2913.86</v>
      </c>
      <c r="N83" s="294">
        <v>0</v>
      </c>
      <c r="O83" s="294">
        <v>1010</v>
      </c>
      <c r="P83" s="294">
        <v>14592</v>
      </c>
      <c r="Q83" s="294">
        <v>0</v>
      </c>
      <c r="R83" s="294">
        <v>0</v>
      </c>
      <c r="S83" s="294">
        <v>0</v>
      </c>
      <c r="T83" s="294">
        <v>0</v>
      </c>
      <c r="U83" s="294">
        <v>6338</v>
      </c>
      <c r="V83" s="294">
        <v>0</v>
      </c>
      <c r="W83" s="294">
        <v>20302.91</v>
      </c>
      <c r="X83" s="294">
        <v>0</v>
      </c>
      <c r="Y83" s="294">
        <v>6124608.9000000004</v>
      </c>
      <c r="Z83" s="294">
        <v>3219539.13</v>
      </c>
      <c r="AA83" s="294">
        <v>0</v>
      </c>
      <c r="AB83" s="294">
        <v>677202.96</v>
      </c>
      <c r="AC83" s="294">
        <v>102128.14</v>
      </c>
      <c r="AD83" s="294">
        <v>443266.64</v>
      </c>
      <c r="AE83" s="294">
        <v>0</v>
      </c>
      <c r="AF83" s="294">
        <v>32364.55</v>
      </c>
      <c r="AG83" s="294">
        <v>36967.5</v>
      </c>
      <c r="AH83" s="294">
        <v>17155.86</v>
      </c>
      <c r="AI83" s="294">
        <v>0</v>
      </c>
      <c r="AJ83" s="294">
        <v>0</v>
      </c>
      <c r="AK83" s="294">
        <v>225404.65000000002</v>
      </c>
      <c r="AL83" s="294">
        <v>14483.31</v>
      </c>
      <c r="AM83" s="294">
        <v>109681.84</v>
      </c>
      <c r="AN83" s="294">
        <v>2771</v>
      </c>
      <c r="AO83" s="294">
        <v>161183.10999999999</v>
      </c>
      <c r="AP83" s="294">
        <v>73229.64</v>
      </c>
      <c r="AQ83" s="294">
        <v>51147.12</v>
      </c>
      <c r="AR83" s="294">
        <v>94072.55</v>
      </c>
      <c r="AS83" s="294">
        <v>236862.58</v>
      </c>
      <c r="AT83" s="294">
        <v>78754.81</v>
      </c>
      <c r="AU83" s="294">
        <v>152575.06</v>
      </c>
      <c r="AV83" s="294">
        <v>17585.939999999999</v>
      </c>
      <c r="AW83" s="294">
        <v>0</v>
      </c>
      <c r="AX83" s="294">
        <v>119754.73</v>
      </c>
      <c r="AY83" s="294">
        <v>226557.92</v>
      </c>
      <c r="AZ83" s="294">
        <v>29611.85</v>
      </c>
      <c r="BA83" s="294">
        <v>96691.28</v>
      </c>
      <c r="BB83" s="294">
        <v>0</v>
      </c>
      <c r="BC83" s="294">
        <v>0</v>
      </c>
      <c r="BD83" s="294">
        <v>0</v>
      </c>
      <c r="BE83" s="294">
        <v>6218992.1699999999</v>
      </c>
      <c r="BF83" s="294">
        <v>1262002.4000000006</v>
      </c>
      <c r="BG83" s="294">
        <v>-94383.269999999553</v>
      </c>
      <c r="BH83" s="294">
        <v>1167619.1300000011</v>
      </c>
      <c r="BI83" s="294">
        <v>16546.560000000001</v>
      </c>
      <c r="BJ83" s="294">
        <v>0</v>
      </c>
      <c r="BK83" s="294">
        <v>0</v>
      </c>
      <c r="BL83" s="294">
        <v>16546.560000000001</v>
      </c>
      <c r="BM83" s="294">
        <v>0</v>
      </c>
      <c r="BN83" s="294">
        <v>0</v>
      </c>
      <c r="BO83" s="294">
        <v>0</v>
      </c>
      <c r="BP83" s="294">
        <v>0</v>
      </c>
      <c r="BQ83" s="294">
        <v>0</v>
      </c>
      <c r="BR83" s="294">
        <v>27444.28</v>
      </c>
      <c r="BS83" s="294">
        <v>16546.560000000001</v>
      </c>
      <c r="BT83" s="294">
        <v>43990.84</v>
      </c>
      <c r="BU83" s="294">
        <v>0</v>
      </c>
      <c r="BV83" s="294">
        <v>0</v>
      </c>
      <c r="BW83" s="294">
        <v>0</v>
      </c>
      <c r="BX83" s="294">
        <v>0</v>
      </c>
      <c r="BY83" s="294">
        <v>0</v>
      </c>
      <c r="BZ83" s="294">
        <v>0</v>
      </c>
      <c r="CA83" s="294">
        <v>0</v>
      </c>
      <c r="CB83" s="294">
        <v>0</v>
      </c>
      <c r="CC83" s="294">
        <v>0</v>
      </c>
      <c r="CD83" s="294">
        <v>1167619.1300000011</v>
      </c>
      <c r="CE83" s="294">
        <v>0</v>
      </c>
      <c r="CF83" s="294">
        <v>43990.84</v>
      </c>
      <c r="CG83" s="294">
        <v>0</v>
      </c>
      <c r="CH83" s="294">
        <v>0</v>
      </c>
      <c r="CI83" s="294">
        <f t="shared" si="1"/>
        <v>1211609.9700000011</v>
      </c>
      <c r="CJ83" s="294">
        <v>1602922.85</v>
      </c>
      <c r="CK83" s="294">
        <v>0</v>
      </c>
      <c r="CL83" s="294">
        <v>0</v>
      </c>
      <c r="CM83" s="294">
        <v>1602922.85</v>
      </c>
      <c r="CN83" s="294">
        <v>117.4</v>
      </c>
      <c r="CO83" s="294">
        <v>0</v>
      </c>
      <c r="CP83" s="294">
        <v>26164.799999999999</v>
      </c>
      <c r="CQ83" s="294">
        <v>0</v>
      </c>
      <c r="CR83" s="294">
        <v>0</v>
      </c>
      <c r="CS83" s="294">
        <v>1629205.05</v>
      </c>
      <c r="CT83" s="294">
        <v>2688.87</v>
      </c>
      <c r="CU83" s="294">
        <v>0</v>
      </c>
      <c r="CV83" s="294">
        <v>0</v>
      </c>
      <c r="CW83" s="294">
        <v>2688.87</v>
      </c>
      <c r="CX83" s="294"/>
      <c r="CY83" s="294"/>
      <c r="CZ83" s="294"/>
      <c r="DA83" s="294">
        <v>0</v>
      </c>
      <c r="DB83" s="294">
        <v>2688.87</v>
      </c>
      <c r="DC83" s="294">
        <v>0</v>
      </c>
      <c r="DD83" s="294">
        <v>0</v>
      </c>
      <c r="DE83" s="294">
        <v>0</v>
      </c>
      <c r="DF83" s="294">
        <v>0</v>
      </c>
      <c r="DG83" s="294">
        <v>-35892.089999999997</v>
      </c>
      <c r="DH83" s="294">
        <v>-146</v>
      </c>
      <c r="DI83" s="294">
        <v>0</v>
      </c>
      <c r="DJ83" s="294">
        <v>0</v>
      </c>
      <c r="DK83" s="294">
        <v>-36038.089999999997</v>
      </c>
      <c r="DL83" s="294">
        <v>-986.99</v>
      </c>
      <c r="DM83" s="294">
        <v>-383258.56</v>
      </c>
      <c r="DN83" s="294">
        <v>0</v>
      </c>
      <c r="DO83" s="294">
        <v>0</v>
      </c>
      <c r="DP83" s="294">
        <v>0</v>
      </c>
      <c r="DQ83" s="324"/>
      <c r="DR83" s="295">
        <v>4511468.92</v>
      </c>
      <c r="DS83" s="325">
        <v>1707523.25</v>
      </c>
      <c r="DT83" s="295">
        <v>226557.92</v>
      </c>
      <c r="DU83" s="295">
        <v>15602</v>
      </c>
      <c r="DV83" s="295">
        <v>6338</v>
      </c>
      <c r="DW83" s="295">
        <v>-384245.55</v>
      </c>
    </row>
    <row r="84" spans="1:127">
      <c r="A84" s="321">
        <v>3411</v>
      </c>
      <c r="B84" s="322" t="s">
        <v>423</v>
      </c>
      <c r="C84" s="321">
        <v>3411</v>
      </c>
      <c r="D84" s="323" t="s">
        <v>817</v>
      </c>
      <c r="E84" s="323" t="s">
        <v>539</v>
      </c>
      <c r="F84" s="323" t="s">
        <v>818</v>
      </c>
      <c r="G84" s="323" t="s">
        <v>537</v>
      </c>
      <c r="H84" s="294">
        <v>1283712.67</v>
      </c>
      <c r="I84" s="294">
        <v>0</v>
      </c>
      <c r="J84" s="294">
        <v>249891.11</v>
      </c>
      <c r="K84" s="294">
        <v>0</v>
      </c>
      <c r="L84" s="294">
        <v>170090</v>
      </c>
      <c r="M84" s="294">
        <v>78203.75</v>
      </c>
      <c r="N84" s="294">
        <v>0</v>
      </c>
      <c r="O84" s="294">
        <v>0</v>
      </c>
      <c r="P84" s="294">
        <v>104453.08999999998</v>
      </c>
      <c r="Q84" s="294">
        <v>0</v>
      </c>
      <c r="R84" s="294">
        <v>0</v>
      </c>
      <c r="S84" s="294">
        <v>0</v>
      </c>
      <c r="T84" s="294">
        <v>0</v>
      </c>
      <c r="U84" s="294">
        <v>0</v>
      </c>
      <c r="V84" s="294">
        <v>0</v>
      </c>
      <c r="W84" s="294">
        <v>8730.92</v>
      </c>
      <c r="X84" s="294">
        <v>35860</v>
      </c>
      <c r="Y84" s="294">
        <v>1930941.5399999998</v>
      </c>
      <c r="Z84" s="294">
        <v>714498.55999999878</v>
      </c>
      <c r="AA84" s="294">
        <v>0</v>
      </c>
      <c r="AB84" s="294">
        <v>0</v>
      </c>
      <c r="AC84" s="294">
        <v>273467.34999999992</v>
      </c>
      <c r="AD84" s="294">
        <v>0</v>
      </c>
      <c r="AE84" s="294">
        <v>0</v>
      </c>
      <c r="AF84" s="294">
        <v>290703.72999999975</v>
      </c>
      <c r="AG84" s="294">
        <v>0</v>
      </c>
      <c r="AH84" s="294">
        <v>3224.99</v>
      </c>
      <c r="AI84" s="294">
        <v>0</v>
      </c>
      <c r="AJ84" s="294">
        <v>0</v>
      </c>
      <c r="AK84" s="294">
        <v>37063.69</v>
      </c>
      <c r="AL84" s="294">
        <v>323</v>
      </c>
      <c r="AM84" s="294">
        <v>2177.58</v>
      </c>
      <c r="AN84" s="294">
        <v>1723.87</v>
      </c>
      <c r="AO84" s="294">
        <v>34070.489999999991</v>
      </c>
      <c r="AP84" s="294">
        <v>33654.800000000003</v>
      </c>
      <c r="AQ84" s="294">
        <v>0</v>
      </c>
      <c r="AR84" s="294">
        <v>75515.66999999994</v>
      </c>
      <c r="AS84" s="294">
        <v>70</v>
      </c>
      <c r="AT84" s="294">
        <v>0</v>
      </c>
      <c r="AU84" s="294">
        <v>11245.570000000002</v>
      </c>
      <c r="AV84" s="294">
        <v>4100</v>
      </c>
      <c r="AW84" s="294">
        <v>0</v>
      </c>
      <c r="AX84" s="294">
        <v>81825.030000000057</v>
      </c>
      <c r="AY84" s="294">
        <v>200902.59999999998</v>
      </c>
      <c r="AZ84" s="294">
        <v>3835.71</v>
      </c>
      <c r="BA84" s="294">
        <v>200730.58000000022</v>
      </c>
      <c r="BB84" s="294">
        <v>0</v>
      </c>
      <c r="BC84" s="294">
        <v>0</v>
      </c>
      <c r="BD84" s="294">
        <v>0</v>
      </c>
      <c r="BE84" s="294">
        <v>1969133.219999999</v>
      </c>
      <c r="BF84" s="294">
        <v>429210.09999999986</v>
      </c>
      <c r="BG84" s="294">
        <v>-38191.679999999236</v>
      </c>
      <c r="BH84" s="294">
        <v>391018.42000000062</v>
      </c>
      <c r="BI84" s="294">
        <v>0</v>
      </c>
      <c r="BJ84" s="294">
        <v>0</v>
      </c>
      <c r="BK84" s="294">
        <v>0</v>
      </c>
      <c r="BL84" s="294">
        <v>0</v>
      </c>
      <c r="BM84" s="294">
        <v>0</v>
      </c>
      <c r="BN84" s="294">
        <v>0</v>
      </c>
      <c r="BO84" s="294">
        <v>0</v>
      </c>
      <c r="BP84" s="294">
        <v>0</v>
      </c>
      <c r="BQ84" s="294">
        <v>0</v>
      </c>
      <c r="BR84" s="294">
        <v>0</v>
      </c>
      <c r="BS84" s="294">
        <v>0</v>
      </c>
      <c r="BT84" s="294">
        <v>0</v>
      </c>
      <c r="BU84" s="294">
        <v>0</v>
      </c>
      <c r="BV84" s="294">
        <v>0</v>
      </c>
      <c r="BW84" s="294">
        <v>0</v>
      </c>
      <c r="BX84" s="294">
        <v>0</v>
      </c>
      <c r="BY84" s="294">
        <v>0</v>
      </c>
      <c r="BZ84" s="294">
        <v>0</v>
      </c>
      <c r="CA84" s="294">
        <v>0</v>
      </c>
      <c r="CB84" s="294">
        <v>0</v>
      </c>
      <c r="CC84" s="294">
        <v>0</v>
      </c>
      <c r="CD84" s="294">
        <v>391018.42000000062</v>
      </c>
      <c r="CE84" s="294">
        <v>0</v>
      </c>
      <c r="CF84" s="294">
        <v>0</v>
      </c>
      <c r="CG84" s="294">
        <v>0</v>
      </c>
      <c r="CH84" s="294">
        <v>0</v>
      </c>
      <c r="CI84" s="294">
        <f t="shared" si="1"/>
        <v>391018.42000000062</v>
      </c>
      <c r="CJ84" s="294">
        <v>455239.64</v>
      </c>
      <c r="CK84" s="294">
        <v>0</v>
      </c>
      <c r="CL84" s="294">
        <v>0</v>
      </c>
      <c r="CM84" s="294">
        <v>455239.64</v>
      </c>
      <c r="CN84" s="294">
        <v>0</v>
      </c>
      <c r="CO84" s="294">
        <v>0</v>
      </c>
      <c r="CP84" s="294">
        <v>4985.3999999999996</v>
      </c>
      <c r="CQ84" s="294">
        <v>0</v>
      </c>
      <c r="CR84" s="294">
        <v>-80728</v>
      </c>
      <c r="CS84" s="294">
        <v>379497.04000000004</v>
      </c>
      <c r="CT84" s="294">
        <v>0</v>
      </c>
      <c r="CU84" s="294">
        <v>0</v>
      </c>
      <c r="CV84" s="294">
        <v>0</v>
      </c>
      <c r="CW84" s="294">
        <v>0</v>
      </c>
      <c r="CX84" s="294"/>
      <c r="CY84" s="294"/>
      <c r="CZ84" s="294"/>
      <c r="DA84" s="294">
        <v>0</v>
      </c>
      <c r="DB84" s="294">
        <v>0</v>
      </c>
      <c r="DC84" s="294">
        <v>0</v>
      </c>
      <c r="DD84" s="294">
        <v>11520.91</v>
      </c>
      <c r="DE84" s="294">
        <v>0</v>
      </c>
      <c r="DF84" s="294">
        <v>0</v>
      </c>
      <c r="DG84" s="294">
        <v>0</v>
      </c>
      <c r="DH84" s="294">
        <v>0</v>
      </c>
      <c r="DI84" s="294">
        <v>0</v>
      </c>
      <c r="DJ84" s="294">
        <v>0</v>
      </c>
      <c r="DK84" s="294">
        <v>11520.91</v>
      </c>
      <c r="DL84" s="294">
        <v>0</v>
      </c>
      <c r="DM84" s="294">
        <v>0</v>
      </c>
      <c r="DN84" s="294">
        <v>0</v>
      </c>
      <c r="DO84" s="294">
        <v>0</v>
      </c>
      <c r="DP84" s="294">
        <v>0</v>
      </c>
      <c r="DQ84" s="324"/>
      <c r="DR84" s="295">
        <v>1278669.6399999985</v>
      </c>
      <c r="DS84" s="325">
        <v>690463.58000000054</v>
      </c>
      <c r="DT84" s="295">
        <v>200902.59999999998</v>
      </c>
      <c r="DU84" s="295">
        <v>104453.08999999998</v>
      </c>
      <c r="DV84" s="295">
        <v>0</v>
      </c>
      <c r="DW84" s="295">
        <v>0</v>
      </c>
    </row>
    <row r="85" spans="1:127">
      <c r="A85" s="321">
        <v>2474</v>
      </c>
      <c r="B85" s="322" t="s">
        <v>424</v>
      </c>
      <c r="C85" s="321">
        <v>2474</v>
      </c>
      <c r="D85" s="323" t="s">
        <v>817</v>
      </c>
      <c r="E85" s="323" t="s">
        <v>539</v>
      </c>
      <c r="F85" s="323" t="s">
        <v>818</v>
      </c>
      <c r="G85" s="323" t="s">
        <v>800</v>
      </c>
      <c r="H85" s="294">
        <v>2210466.7400000002</v>
      </c>
      <c r="I85" s="294">
        <v>0</v>
      </c>
      <c r="J85" s="294">
        <v>55678.39</v>
      </c>
      <c r="K85" s="294">
        <v>0</v>
      </c>
      <c r="L85" s="294">
        <v>213470</v>
      </c>
      <c r="M85" s="294">
        <v>3546.93</v>
      </c>
      <c r="N85" s="294">
        <v>0</v>
      </c>
      <c r="O85" s="294">
        <v>25309.5</v>
      </c>
      <c r="P85" s="294">
        <v>48295.629999999866</v>
      </c>
      <c r="Q85" s="294">
        <v>614.05999999999995</v>
      </c>
      <c r="R85" s="294">
        <v>0</v>
      </c>
      <c r="S85" s="294">
        <v>0</v>
      </c>
      <c r="T85" s="294">
        <v>23243.279999999999</v>
      </c>
      <c r="U85" s="294">
        <v>32358.16</v>
      </c>
      <c r="V85" s="294">
        <v>0</v>
      </c>
      <c r="W85" s="294">
        <v>3767.71</v>
      </c>
      <c r="X85" s="294">
        <v>72834</v>
      </c>
      <c r="Y85" s="294">
        <v>2689584.4000000004</v>
      </c>
      <c r="Z85" s="294">
        <v>1368578.4099999992</v>
      </c>
      <c r="AA85" s="294">
        <v>0</v>
      </c>
      <c r="AB85" s="294">
        <v>302342.96000000002</v>
      </c>
      <c r="AC85" s="294">
        <v>43281.040000000503</v>
      </c>
      <c r="AD85" s="294">
        <v>154911.25</v>
      </c>
      <c r="AE85" s="294">
        <v>0</v>
      </c>
      <c r="AF85" s="294">
        <v>90510.25</v>
      </c>
      <c r="AG85" s="294">
        <v>0</v>
      </c>
      <c r="AH85" s="294">
        <v>0</v>
      </c>
      <c r="AI85" s="294">
        <v>0</v>
      </c>
      <c r="AJ85" s="294">
        <v>11878.97</v>
      </c>
      <c r="AK85" s="294">
        <v>12874.78</v>
      </c>
      <c r="AL85" s="294">
        <v>1935</v>
      </c>
      <c r="AM85" s="294">
        <v>60433.91</v>
      </c>
      <c r="AN85" s="294">
        <v>8394.2900000000009</v>
      </c>
      <c r="AO85" s="294">
        <v>62555.840000000004</v>
      </c>
      <c r="AP85" s="294">
        <v>33857.5</v>
      </c>
      <c r="AQ85" s="294">
        <v>13205.560000000001</v>
      </c>
      <c r="AR85" s="294">
        <v>60766</v>
      </c>
      <c r="AS85" s="294">
        <v>10029.459999999999</v>
      </c>
      <c r="AT85" s="294">
        <v>0</v>
      </c>
      <c r="AU85" s="294">
        <v>21632.500000000004</v>
      </c>
      <c r="AV85" s="294">
        <v>9471</v>
      </c>
      <c r="AW85" s="294">
        <v>1412</v>
      </c>
      <c r="AX85" s="294">
        <v>149350.46999999997</v>
      </c>
      <c r="AY85" s="294">
        <v>73310.840000000026</v>
      </c>
      <c r="AZ85" s="294">
        <v>10554.47</v>
      </c>
      <c r="BA85" s="294">
        <v>154532.71999999997</v>
      </c>
      <c r="BB85" s="294">
        <v>0</v>
      </c>
      <c r="BC85" s="294">
        <v>0</v>
      </c>
      <c r="BD85" s="294">
        <v>0</v>
      </c>
      <c r="BE85" s="294">
        <v>2655819.2199999997</v>
      </c>
      <c r="BF85" s="294">
        <v>-46755.729999999967</v>
      </c>
      <c r="BG85" s="294">
        <v>33765.180000000633</v>
      </c>
      <c r="BH85" s="294">
        <v>-12990.549999999334</v>
      </c>
      <c r="BI85" s="294">
        <v>8668.75</v>
      </c>
      <c r="BJ85" s="294">
        <v>0</v>
      </c>
      <c r="BK85" s="294">
        <v>0</v>
      </c>
      <c r="BL85" s="294">
        <v>8668.75</v>
      </c>
      <c r="BM85" s="294">
        <v>0</v>
      </c>
      <c r="BN85" s="294">
        <v>0</v>
      </c>
      <c r="BO85" s="294">
        <v>0</v>
      </c>
      <c r="BP85" s="294">
        <v>0</v>
      </c>
      <c r="BQ85" s="294">
        <v>0</v>
      </c>
      <c r="BR85" s="294">
        <v>21179</v>
      </c>
      <c r="BS85" s="294">
        <v>8668.75</v>
      </c>
      <c r="BT85" s="294">
        <v>29847.75</v>
      </c>
      <c r="BU85" s="294">
        <v>0</v>
      </c>
      <c r="BV85" s="294">
        <v>0</v>
      </c>
      <c r="BW85" s="294">
        <v>0</v>
      </c>
      <c r="BX85" s="294">
        <v>0</v>
      </c>
      <c r="BY85" s="294">
        <v>0</v>
      </c>
      <c r="BZ85" s="294">
        <v>0</v>
      </c>
      <c r="CA85" s="294">
        <v>0</v>
      </c>
      <c r="CB85" s="294">
        <v>0</v>
      </c>
      <c r="CC85" s="294">
        <v>0</v>
      </c>
      <c r="CD85" s="294">
        <v>-12990.549999999334</v>
      </c>
      <c r="CE85" s="294">
        <v>0</v>
      </c>
      <c r="CF85" s="294">
        <v>29847.75</v>
      </c>
      <c r="CG85" s="294">
        <v>0</v>
      </c>
      <c r="CH85" s="294">
        <v>0</v>
      </c>
      <c r="CI85" s="294">
        <f t="shared" si="1"/>
        <v>16857.200000000666</v>
      </c>
      <c r="CJ85" s="294">
        <v>0</v>
      </c>
      <c r="CK85" s="294">
        <v>0</v>
      </c>
      <c r="CL85" s="294">
        <v>0</v>
      </c>
      <c r="CM85" s="294">
        <v>0</v>
      </c>
      <c r="CN85" s="294">
        <v>0</v>
      </c>
      <c r="CO85" s="294">
        <v>0</v>
      </c>
      <c r="CP85" s="294">
        <v>0</v>
      </c>
      <c r="CQ85" s="294">
        <v>0</v>
      </c>
      <c r="CR85" s="294">
        <v>0</v>
      </c>
      <c r="CS85" s="294">
        <v>0</v>
      </c>
      <c r="CT85" s="294">
        <v>0</v>
      </c>
      <c r="CU85" s="294">
        <v>0</v>
      </c>
      <c r="CV85" s="294">
        <v>0</v>
      </c>
      <c r="CW85" s="294">
        <v>0</v>
      </c>
      <c r="CX85" s="294"/>
      <c r="CY85" s="294"/>
      <c r="CZ85" s="294"/>
      <c r="DA85" s="294">
        <v>55019.140000000254</v>
      </c>
      <c r="DB85" s="294">
        <v>55019.140000000254</v>
      </c>
      <c r="DC85" s="294">
        <v>1234.42</v>
      </c>
      <c r="DD85" s="294">
        <v>251.48</v>
      </c>
      <c r="DE85" s="294">
        <v>0</v>
      </c>
      <c r="DF85" s="294">
        <v>0</v>
      </c>
      <c r="DG85" s="294">
        <v>-38581.53</v>
      </c>
      <c r="DH85" s="294">
        <v>0</v>
      </c>
      <c r="DI85" s="294">
        <v>-1067</v>
      </c>
      <c r="DJ85" s="294">
        <v>0</v>
      </c>
      <c r="DK85" s="294">
        <v>-38162.629999999997</v>
      </c>
      <c r="DL85" s="294">
        <v>0</v>
      </c>
      <c r="DM85" s="294">
        <v>0</v>
      </c>
      <c r="DN85" s="294">
        <v>0</v>
      </c>
      <c r="DO85" s="294">
        <v>0</v>
      </c>
      <c r="DP85" s="294">
        <v>0</v>
      </c>
      <c r="DQ85" s="324">
        <v>-2.5465851649641991E-10</v>
      </c>
      <c r="DR85" s="295">
        <v>-2.5465851649641991E-10</v>
      </c>
      <c r="DS85" s="325"/>
      <c r="DT85" s="295"/>
      <c r="DU85" s="295"/>
      <c r="DV85" s="295"/>
      <c r="DW85" s="295">
        <v>0</v>
      </c>
    </row>
    <row r="86" spans="1:127">
      <c r="A86" s="321">
        <v>4223</v>
      </c>
      <c r="B86" s="322" t="s">
        <v>356</v>
      </c>
      <c r="C86" s="321">
        <v>4223</v>
      </c>
      <c r="D86" s="323" t="s">
        <v>817</v>
      </c>
      <c r="E86" s="323" t="s">
        <v>543</v>
      </c>
      <c r="F86" s="323" t="s">
        <v>818</v>
      </c>
      <c r="G86" s="323" t="s">
        <v>537</v>
      </c>
      <c r="H86" s="294">
        <v>8607062.4600000009</v>
      </c>
      <c r="I86" s="294">
        <v>947225</v>
      </c>
      <c r="J86" s="294">
        <v>105507.66</v>
      </c>
      <c r="K86" s="294">
        <v>0</v>
      </c>
      <c r="L86" s="294">
        <v>595505</v>
      </c>
      <c r="M86" s="294">
        <v>35425.730000000003</v>
      </c>
      <c r="N86" s="294">
        <v>0</v>
      </c>
      <c r="O86" s="294">
        <v>0</v>
      </c>
      <c r="P86" s="294">
        <v>381813.24</v>
      </c>
      <c r="Q86" s="294">
        <v>120119.67999999999</v>
      </c>
      <c r="R86" s="294">
        <v>0</v>
      </c>
      <c r="S86" s="294">
        <v>0</v>
      </c>
      <c r="T86" s="294">
        <v>5940.1</v>
      </c>
      <c r="U86" s="294">
        <v>0</v>
      </c>
      <c r="V86" s="294">
        <v>0</v>
      </c>
      <c r="W86" s="294">
        <v>35921.629999999997</v>
      </c>
      <c r="X86" s="294">
        <v>0</v>
      </c>
      <c r="Y86" s="294">
        <v>10834520.500000002</v>
      </c>
      <c r="Z86" s="294">
        <v>6465868.0499999998</v>
      </c>
      <c r="AA86" s="294">
        <v>0</v>
      </c>
      <c r="AB86" s="294">
        <v>352939.54</v>
      </c>
      <c r="AC86" s="294">
        <v>0</v>
      </c>
      <c r="AD86" s="294">
        <v>1419418.26</v>
      </c>
      <c r="AE86" s="294">
        <v>0</v>
      </c>
      <c r="AF86" s="294">
        <v>130889.57</v>
      </c>
      <c r="AG86" s="294">
        <v>61682.91</v>
      </c>
      <c r="AH86" s="294">
        <v>50790.5</v>
      </c>
      <c r="AI86" s="294">
        <v>6415.6</v>
      </c>
      <c r="AJ86" s="294">
        <v>29198.31</v>
      </c>
      <c r="AK86" s="294">
        <v>45502.11</v>
      </c>
      <c r="AL86" s="294">
        <v>0</v>
      </c>
      <c r="AM86" s="294">
        <v>0</v>
      </c>
      <c r="AN86" s="294">
        <v>114702.78</v>
      </c>
      <c r="AO86" s="294">
        <v>443752.59</v>
      </c>
      <c r="AP86" s="294">
        <v>174898.94</v>
      </c>
      <c r="AQ86" s="294">
        <v>17765.009999999998</v>
      </c>
      <c r="AR86" s="294">
        <f>304332.41-0.56</f>
        <v>304331.84999999998</v>
      </c>
      <c r="AS86" s="294">
        <v>135165.26</v>
      </c>
      <c r="AT86" s="294">
        <v>211466.25</v>
      </c>
      <c r="AU86" s="294">
        <v>363970.33</v>
      </c>
      <c r="AV86" s="294">
        <v>0</v>
      </c>
      <c r="AW86" s="294">
        <v>2400</v>
      </c>
      <c r="AX86" s="294">
        <v>525763.03</v>
      </c>
      <c r="AY86" s="294">
        <v>137145.04</v>
      </c>
      <c r="AZ86" s="294">
        <v>110546.73999999999</v>
      </c>
      <c r="BA86" s="294">
        <v>178779.11999999994</v>
      </c>
      <c r="BB86" s="294">
        <v>650108.80000000005</v>
      </c>
      <c r="BC86" s="294">
        <v>0</v>
      </c>
      <c r="BD86" s="294">
        <v>0</v>
      </c>
      <c r="BE86" s="294">
        <v>11933501.149999997</v>
      </c>
      <c r="BF86" s="294">
        <v>4979718.9499999937</v>
      </c>
      <c r="BG86" s="294">
        <v>-1098980.6499999948</v>
      </c>
      <c r="BH86" s="294">
        <v>3880738.2999999989</v>
      </c>
      <c r="BI86" s="294">
        <v>24995.31</v>
      </c>
      <c r="BJ86" s="294">
        <v>0</v>
      </c>
      <c r="BK86" s="294">
        <v>0</v>
      </c>
      <c r="BL86" s="294">
        <v>24995.31</v>
      </c>
      <c r="BM86" s="294">
        <v>0</v>
      </c>
      <c r="BN86" s="294">
        <v>0</v>
      </c>
      <c r="BO86" s="294">
        <v>0</v>
      </c>
      <c r="BP86" s="294">
        <v>0</v>
      </c>
      <c r="BQ86" s="294">
        <v>0</v>
      </c>
      <c r="BR86" s="294">
        <v>0</v>
      </c>
      <c r="BS86" s="294">
        <v>24995.31</v>
      </c>
      <c r="BT86" s="294">
        <v>24995.31</v>
      </c>
      <c r="BU86" s="294">
        <v>0</v>
      </c>
      <c r="BV86" s="294">
        <v>0</v>
      </c>
      <c r="BW86" s="294">
        <v>0</v>
      </c>
      <c r="BX86" s="294">
        <v>0</v>
      </c>
      <c r="BY86" s="294">
        <v>0</v>
      </c>
      <c r="BZ86" s="294">
        <v>0</v>
      </c>
      <c r="CA86" s="294">
        <v>0</v>
      </c>
      <c r="CB86" s="294">
        <v>0</v>
      </c>
      <c r="CC86" s="294">
        <v>0</v>
      </c>
      <c r="CD86" s="294">
        <v>3880738.2999999989</v>
      </c>
      <c r="CE86" s="294">
        <v>0</v>
      </c>
      <c r="CF86" s="294">
        <v>24995.31</v>
      </c>
      <c r="CG86" s="294">
        <v>0</v>
      </c>
      <c r="CH86" s="294">
        <v>0</v>
      </c>
      <c r="CI86" s="294">
        <f t="shared" si="1"/>
        <v>3905733.6099999989</v>
      </c>
      <c r="CJ86" s="294">
        <v>858767.43</v>
      </c>
      <c r="CK86" s="294">
        <v>857159.94</v>
      </c>
      <c r="CL86" s="294">
        <v>0</v>
      </c>
      <c r="CM86" s="294">
        <v>1607.4900000001071</v>
      </c>
      <c r="CN86" s="294">
        <v>300</v>
      </c>
      <c r="CO86" s="294">
        <v>0</v>
      </c>
      <c r="CP86" s="294">
        <v>45890.52</v>
      </c>
      <c r="CQ86" s="294">
        <v>0</v>
      </c>
      <c r="CR86" s="294">
        <v>-307.77999999999997</v>
      </c>
      <c r="CS86" s="294">
        <v>47490.230000000105</v>
      </c>
      <c r="CT86" s="294">
        <v>4038374.84</v>
      </c>
      <c r="CU86" s="294">
        <v>0</v>
      </c>
      <c r="CV86" s="294">
        <v>0</v>
      </c>
      <c r="CW86" s="294">
        <v>4038374.84</v>
      </c>
      <c r="CX86" s="294"/>
      <c r="CY86" s="294"/>
      <c r="CZ86" s="294"/>
      <c r="DA86" s="294">
        <v>0</v>
      </c>
      <c r="DB86" s="294">
        <v>4038374.84</v>
      </c>
      <c r="DC86" s="294">
        <v>0</v>
      </c>
      <c r="DD86" s="294">
        <v>0</v>
      </c>
      <c r="DE86" s="294">
        <v>0</v>
      </c>
      <c r="DF86" s="294">
        <v>0</v>
      </c>
      <c r="DG86" s="294">
        <v>-49015.86</v>
      </c>
      <c r="DH86" s="294">
        <v>-131115.04</v>
      </c>
      <c r="DI86" s="294">
        <v>0</v>
      </c>
      <c r="DJ86" s="294">
        <v>0</v>
      </c>
      <c r="DK86" s="294">
        <v>-180130.90000000002</v>
      </c>
      <c r="DL86" s="294">
        <v>0</v>
      </c>
      <c r="DM86" s="294">
        <v>0</v>
      </c>
      <c r="DN86" s="294">
        <v>0</v>
      </c>
      <c r="DO86" s="294">
        <v>0</v>
      </c>
      <c r="DP86" s="294">
        <v>0</v>
      </c>
      <c r="DQ86" s="324"/>
      <c r="DR86" s="295">
        <v>8430798.3300000001</v>
      </c>
      <c r="DS86" s="325">
        <v>3502702.8199999966</v>
      </c>
      <c r="DT86" s="295">
        <v>137145.04</v>
      </c>
      <c r="DU86" s="295">
        <v>507873.01999999996</v>
      </c>
      <c r="DV86" s="295">
        <v>0</v>
      </c>
      <c r="DW86" s="295">
        <v>0</v>
      </c>
    </row>
    <row r="87" spans="1:127">
      <c r="A87" s="321">
        <v>3317</v>
      </c>
      <c r="B87" s="322" t="s">
        <v>425</v>
      </c>
      <c r="C87" s="321">
        <v>3317</v>
      </c>
      <c r="D87" s="323" t="s">
        <v>817</v>
      </c>
      <c r="E87" s="323" t="s">
        <v>539</v>
      </c>
      <c r="F87" s="323" t="s">
        <v>818</v>
      </c>
      <c r="G87" s="323" t="s">
        <v>537</v>
      </c>
      <c r="H87" s="294">
        <v>1346049.12</v>
      </c>
      <c r="I87" s="294">
        <v>0</v>
      </c>
      <c r="J87" s="294">
        <v>47987.94</v>
      </c>
      <c r="K87" s="294">
        <v>0</v>
      </c>
      <c r="L87" s="294">
        <v>136510</v>
      </c>
      <c r="M87" s="294">
        <v>2056.9299999999998</v>
      </c>
      <c r="N87" s="294">
        <v>0</v>
      </c>
      <c r="O87" s="294">
        <v>0</v>
      </c>
      <c r="P87" s="294">
        <v>17219.479999999996</v>
      </c>
      <c r="Q87" s="294">
        <v>0</v>
      </c>
      <c r="R87" s="294">
        <v>0</v>
      </c>
      <c r="S87" s="294">
        <v>0</v>
      </c>
      <c r="T87" s="294">
        <v>7092.35</v>
      </c>
      <c r="U87" s="294">
        <v>15696.130000000001</v>
      </c>
      <c r="V87" s="294">
        <v>0</v>
      </c>
      <c r="W87" s="294">
        <v>8781.17</v>
      </c>
      <c r="X87" s="294">
        <v>40056</v>
      </c>
      <c r="Y87" s="294">
        <v>1621449.1199999999</v>
      </c>
      <c r="Z87" s="294">
        <v>723432.62999999872</v>
      </c>
      <c r="AA87" s="294">
        <v>0</v>
      </c>
      <c r="AB87" s="294">
        <v>327273.28000000003</v>
      </c>
      <c r="AC87" s="294">
        <v>48416.8400000002</v>
      </c>
      <c r="AD87" s="294">
        <v>86033.7</v>
      </c>
      <c r="AE87" s="294">
        <v>0</v>
      </c>
      <c r="AF87" s="294">
        <v>34984.170000000158</v>
      </c>
      <c r="AG87" s="294">
        <v>2756.8000000000029</v>
      </c>
      <c r="AH87" s="294">
        <v>12705.3</v>
      </c>
      <c r="AI87" s="294">
        <v>0</v>
      </c>
      <c r="AJ87" s="294">
        <v>0</v>
      </c>
      <c r="AK87" s="294">
        <v>29610.790000000008</v>
      </c>
      <c r="AL87" s="294">
        <v>0</v>
      </c>
      <c r="AM87" s="294">
        <v>330.91999999999985</v>
      </c>
      <c r="AN87" s="294">
        <v>3211.7</v>
      </c>
      <c r="AO87" s="294">
        <v>22110.47</v>
      </c>
      <c r="AP87" s="294">
        <v>5246.96</v>
      </c>
      <c r="AQ87" s="294">
        <v>19547.77</v>
      </c>
      <c r="AR87" s="294">
        <v>59978.299999999974</v>
      </c>
      <c r="AS87" s="294">
        <v>15952.55</v>
      </c>
      <c r="AT87" s="294">
        <v>0</v>
      </c>
      <c r="AU87" s="294">
        <v>22747.310000000012</v>
      </c>
      <c r="AV87" s="294">
        <v>5929.38</v>
      </c>
      <c r="AW87" s="294">
        <v>2755</v>
      </c>
      <c r="AX87" s="294">
        <v>61884.560000000005</v>
      </c>
      <c r="AY87" s="294">
        <v>95595.029999999853</v>
      </c>
      <c r="AZ87" s="294">
        <v>5585.18</v>
      </c>
      <c r="BA87" s="294">
        <v>145182.38000000015</v>
      </c>
      <c r="BB87" s="294">
        <v>0</v>
      </c>
      <c r="BC87" s="294">
        <v>0</v>
      </c>
      <c r="BD87" s="294">
        <v>0</v>
      </c>
      <c r="BE87" s="294">
        <v>1731271.0199999991</v>
      </c>
      <c r="BF87" s="294">
        <v>137866.21999999988</v>
      </c>
      <c r="BG87" s="294">
        <v>-109821.89999999921</v>
      </c>
      <c r="BH87" s="294">
        <v>28044.320000000676</v>
      </c>
      <c r="BI87" s="294">
        <v>44157</v>
      </c>
      <c r="BJ87" s="294">
        <v>0</v>
      </c>
      <c r="BK87" s="294">
        <v>0</v>
      </c>
      <c r="BL87" s="294">
        <v>44157</v>
      </c>
      <c r="BM87" s="294">
        <v>0</v>
      </c>
      <c r="BN87" s="294">
        <v>0</v>
      </c>
      <c r="BO87" s="294">
        <v>0</v>
      </c>
      <c r="BP87" s="294">
        <v>0</v>
      </c>
      <c r="BQ87" s="294">
        <v>0</v>
      </c>
      <c r="BR87" s="294">
        <v>0</v>
      </c>
      <c r="BS87" s="294">
        <v>44157</v>
      </c>
      <c r="BT87" s="294">
        <v>44157</v>
      </c>
      <c r="BU87" s="294">
        <v>0</v>
      </c>
      <c r="BV87" s="294">
        <v>0</v>
      </c>
      <c r="BW87" s="294">
        <v>0</v>
      </c>
      <c r="BX87" s="294">
        <v>0</v>
      </c>
      <c r="BY87" s="294">
        <v>0</v>
      </c>
      <c r="BZ87" s="294">
        <v>0</v>
      </c>
      <c r="CA87" s="294">
        <v>0</v>
      </c>
      <c r="CB87" s="294">
        <v>0</v>
      </c>
      <c r="CC87" s="294">
        <v>0</v>
      </c>
      <c r="CD87" s="294">
        <v>28044.320000000676</v>
      </c>
      <c r="CE87" s="294">
        <v>0</v>
      </c>
      <c r="CF87" s="294">
        <v>44157</v>
      </c>
      <c r="CG87" s="294">
        <v>0</v>
      </c>
      <c r="CH87" s="294">
        <v>0</v>
      </c>
      <c r="CI87" s="294">
        <f t="shared" si="1"/>
        <v>72201.320000000676</v>
      </c>
      <c r="CJ87" s="294">
        <v>207677.14</v>
      </c>
      <c r="CK87" s="294">
        <v>108652.37</v>
      </c>
      <c r="CL87" s="294">
        <v>0</v>
      </c>
      <c r="CM87" s="294">
        <v>99024.770000000019</v>
      </c>
      <c r="CN87" s="294">
        <v>1278.57</v>
      </c>
      <c r="CO87" s="294">
        <v>0</v>
      </c>
      <c r="CP87" s="294">
        <v>1898.4</v>
      </c>
      <c r="CQ87" s="294">
        <v>2661.12</v>
      </c>
      <c r="CR87" s="294">
        <v>1040.0899999999999</v>
      </c>
      <c r="CS87" s="294">
        <v>105902.95000000001</v>
      </c>
      <c r="CT87" s="294">
        <v>0</v>
      </c>
      <c r="CU87" s="294">
        <v>0</v>
      </c>
      <c r="CV87" s="294">
        <v>0</v>
      </c>
      <c r="CW87" s="294">
        <v>0</v>
      </c>
      <c r="CX87" s="294"/>
      <c r="CY87" s="294"/>
      <c r="CZ87" s="294"/>
      <c r="DA87" s="294">
        <v>0</v>
      </c>
      <c r="DB87" s="294">
        <v>0</v>
      </c>
      <c r="DC87" s="294">
        <v>0</v>
      </c>
      <c r="DD87" s="294">
        <v>4576.83</v>
      </c>
      <c r="DE87" s="294">
        <v>0</v>
      </c>
      <c r="DF87" s="294">
        <v>0</v>
      </c>
      <c r="DG87" s="294">
        <v>-14216.62</v>
      </c>
      <c r="DH87" s="294">
        <v>-24062.29</v>
      </c>
      <c r="DI87" s="294">
        <v>0</v>
      </c>
      <c r="DJ87" s="294">
        <v>0</v>
      </c>
      <c r="DK87" s="294">
        <v>-33702.080000000002</v>
      </c>
      <c r="DL87" s="294">
        <v>0</v>
      </c>
      <c r="DM87" s="294">
        <v>0</v>
      </c>
      <c r="DN87" s="294">
        <v>0</v>
      </c>
      <c r="DO87" s="294">
        <v>0</v>
      </c>
      <c r="DP87" s="294">
        <v>0</v>
      </c>
      <c r="DQ87" s="324"/>
      <c r="DR87" s="295">
        <v>1222897.4199999992</v>
      </c>
      <c r="DS87" s="325">
        <v>508373.59999999986</v>
      </c>
      <c r="DT87" s="295">
        <v>95595.029999999853</v>
      </c>
      <c r="DU87" s="295">
        <v>24311.829999999994</v>
      </c>
      <c r="DV87" s="295">
        <v>15696.130000000001</v>
      </c>
      <c r="DW87" s="295">
        <v>0</v>
      </c>
    </row>
    <row r="88" spans="1:127">
      <c r="A88" s="321">
        <v>1023</v>
      </c>
      <c r="B88" s="322" t="s">
        <v>426</v>
      </c>
      <c r="C88" s="321">
        <v>1023</v>
      </c>
      <c r="D88" s="323" t="s">
        <v>817</v>
      </c>
      <c r="E88" s="323" t="s">
        <v>536</v>
      </c>
      <c r="F88" s="323" t="s">
        <v>818</v>
      </c>
      <c r="G88" s="323" t="s">
        <v>537</v>
      </c>
      <c r="H88" s="294">
        <v>545495.14</v>
      </c>
      <c r="I88" s="294">
        <v>0</v>
      </c>
      <c r="J88" s="294">
        <v>47320.63</v>
      </c>
      <c r="K88" s="294">
        <v>0</v>
      </c>
      <c r="L88" s="294">
        <v>0</v>
      </c>
      <c r="M88" s="294">
        <v>0</v>
      </c>
      <c r="N88" s="294">
        <v>0</v>
      </c>
      <c r="O88" s="294">
        <v>0</v>
      </c>
      <c r="P88" s="294">
        <v>23328.55</v>
      </c>
      <c r="Q88" s="294">
        <v>0</v>
      </c>
      <c r="R88" s="294">
        <v>0</v>
      </c>
      <c r="S88" s="294">
        <v>0</v>
      </c>
      <c r="T88" s="294">
        <v>10344.799999999999</v>
      </c>
      <c r="U88" s="294">
        <v>57671.97</v>
      </c>
      <c r="V88" s="294">
        <v>0</v>
      </c>
      <c r="W88" s="294">
        <v>0</v>
      </c>
      <c r="X88" s="294">
        <v>0</v>
      </c>
      <c r="Y88" s="294">
        <v>684161.09000000008</v>
      </c>
      <c r="Z88" s="294">
        <v>144931.58000000002</v>
      </c>
      <c r="AA88" s="294">
        <v>0</v>
      </c>
      <c r="AB88" s="294">
        <v>164612.07000000004</v>
      </c>
      <c r="AC88" s="294">
        <v>0</v>
      </c>
      <c r="AD88" s="294">
        <v>23652.27</v>
      </c>
      <c r="AE88" s="294">
        <v>0</v>
      </c>
      <c r="AF88" s="294">
        <v>43377.780000000057</v>
      </c>
      <c r="AG88" s="294">
        <v>2203.2500000000009</v>
      </c>
      <c r="AH88" s="294">
        <v>4882.2</v>
      </c>
      <c r="AI88" s="294">
        <v>0</v>
      </c>
      <c r="AJ88" s="294">
        <v>0</v>
      </c>
      <c r="AK88" s="294">
        <v>12490.13</v>
      </c>
      <c r="AL88" s="294">
        <v>9930</v>
      </c>
      <c r="AM88" s="294">
        <v>20592.890000000003</v>
      </c>
      <c r="AN88" s="294">
        <v>5007.5599999999986</v>
      </c>
      <c r="AO88" s="294">
        <v>6119.8</v>
      </c>
      <c r="AP88" s="294">
        <v>0</v>
      </c>
      <c r="AQ88" s="294">
        <v>12626.2</v>
      </c>
      <c r="AR88" s="294">
        <v>15922.889999999992</v>
      </c>
      <c r="AS88" s="294">
        <v>506.8</v>
      </c>
      <c r="AT88" s="294">
        <v>0</v>
      </c>
      <c r="AU88" s="294">
        <v>2582.0999999999985</v>
      </c>
      <c r="AV88" s="294">
        <v>3291.75</v>
      </c>
      <c r="AW88" s="294">
        <v>0</v>
      </c>
      <c r="AX88" s="294">
        <v>1804.31</v>
      </c>
      <c r="AY88" s="294">
        <v>65707.47</v>
      </c>
      <c r="AZ88" s="294">
        <v>14116.53</v>
      </c>
      <c r="BA88" s="294">
        <v>42356.050000000017</v>
      </c>
      <c r="BB88" s="294">
        <v>0</v>
      </c>
      <c r="BC88" s="294">
        <v>0</v>
      </c>
      <c r="BD88" s="294">
        <v>0</v>
      </c>
      <c r="BE88" s="294">
        <v>596713.63000000012</v>
      </c>
      <c r="BF88" s="294">
        <v>187014.96999999991</v>
      </c>
      <c r="BG88" s="294">
        <v>87447.459999999963</v>
      </c>
      <c r="BH88" s="294">
        <v>274462.42999999988</v>
      </c>
      <c r="BI88" s="294">
        <v>4573.75</v>
      </c>
      <c r="BJ88" s="294">
        <v>0</v>
      </c>
      <c r="BK88" s="294">
        <v>0</v>
      </c>
      <c r="BL88" s="294">
        <v>4573.75</v>
      </c>
      <c r="BM88" s="294">
        <v>0</v>
      </c>
      <c r="BN88" s="294">
        <v>0</v>
      </c>
      <c r="BO88" s="294">
        <v>0</v>
      </c>
      <c r="BP88" s="294">
        <v>1323.66</v>
      </c>
      <c r="BQ88" s="294">
        <v>1323.66</v>
      </c>
      <c r="BR88" s="294">
        <v>24669.79</v>
      </c>
      <c r="BS88" s="294">
        <v>3250.09</v>
      </c>
      <c r="BT88" s="294">
        <v>27919.88</v>
      </c>
      <c r="BU88" s="294">
        <v>0</v>
      </c>
      <c r="BV88" s="294">
        <v>0</v>
      </c>
      <c r="BW88" s="294">
        <v>0</v>
      </c>
      <c r="BX88" s="294">
        <v>0</v>
      </c>
      <c r="BY88" s="294">
        <v>0</v>
      </c>
      <c r="BZ88" s="294">
        <v>0</v>
      </c>
      <c r="CA88" s="294">
        <v>0</v>
      </c>
      <c r="CB88" s="294">
        <v>0</v>
      </c>
      <c r="CC88" s="294">
        <v>0</v>
      </c>
      <c r="CD88" s="294">
        <v>274462.42999999988</v>
      </c>
      <c r="CE88" s="294">
        <v>0</v>
      </c>
      <c r="CF88" s="294">
        <v>27919.88</v>
      </c>
      <c r="CG88" s="294">
        <v>0</v>
      </c>
      <c r="CH88" s="294">
        <v>0</v>
      </c>
      <c r="CI88" s="294">
        <f t="shared" si="1"/>
        <v>302382.30999999988</v>
      </c>
      <c r="CJ88" s="294">
        <v>299198.53999999998</v>
      </c>
      <c r="CK88" s="294">
        <v>0</v>
      </c>
      <c r="CL88" s="294">
        <v>1800</v>
      </c>
      <c r="CM88" s="294">
        <v>300998.53999999998</v>
      </c>
      <c r="CN88" s="294">
        <v>900</v>
      </c>
      <c r="CO88" s="294">
        <v>0</v>
      </c>
      <c r="CP88" s="294">
        <v>1745.03</v>
      </c>
      <c r="CQ88" s="294">
        <v>0</v>
      </c>
      <c r="CR88" s="294">
        <v>0</v>
      </c>
      <c r="CS88" s="294">
        <v>303643.57</v>
      </c>
      <c r="CT88" s="294">
        <v>0</v>
      </c>
      <c r="CU88" s="294">
        <v>0</v>
      </c>
      <c r="CV88" s="294">
        <v>0</v>
      </c>
      <c r="CW88" s="294">
        <v>0</v>
      </c>
      <c r="CX88" s="294"/>
      <c r="CY88" s="294"/>
      <c r="CZ88" s="294"/>
      <c r="DA88" s="294">
        <v>0</v>
      </c>
      <c r="DB88" s="294">
        <v>0</v>
      </c>
      <c r="DC88" s="294">
        <v>0</v>
      </c>
      <c r="DD88" s="294">
        <v>4338.75</v>
      </c>
      <c r="DE88" s="294">
        <v>0</v>
      </c>
      <c r="DF88" s="294">
        <v>0</v>
      </c>
      <c r="DG88" s="294">
        <v>-5599.57</v>
      </c>
      <c r="DH88" s="294">
        <v>0</v>
      </c>
      <c r="DI88" s="294">
        <v>0</v>
      </c>
      <c r="DJ88" s="294">
        <v>0</v>
      </c>
      <c r="DK88" s="294">
        <v>-1260.8199999999997</v>
      </c>
      <c r="DL88" s="294">
        <v>0</v>
      </c>
      <c r="DM88" s="294">
        <v>0</v>
      </c>
      <c r="DN88" s="294">
        <v>0</v>
      </c>
      <c r="DO88" s="294">
        <v>0</v>
      </c>
      <c r="DP88" s="294">
        <v>0</v>
      </c>
      <c r="DQ88" s="324"/>
      <c r="DR88" s="295">
        <v>378776.95000000007</v>
      </c>
      <c r="DS88" s="325">
        <v>217936.68000000005</v>
      </c>
      <c r="DT88" s="295">
        <v>65707.47</v>
      </c>
      <c r="DU88" s="295">
        <v>33673.35</v>
      </c>
      <c r="DV88" s="295">
        <v>57671.97</v>
      </c>
      <c r="DW88" s="295">
        <v>0</v>
      </c>
    </row>
    <row r="89" spans="1:127">
      <c r="A89" s="321">
        <v>2015</v>
      </c>
      <c r="B89" s="322" t="s">
        <v>357</v>
      </c>
      <c r="C89" s="321">
        <v>2015</v>
      </c>
      <c r="D89" s="323" t="s">
        <v>817</v>
      </c>
      <c r="E89" s="323" t="s">
        <v>539</v>
      </c>
      <c r="F89" s="323" t="s">
        <v>818</v>
      </c>
      <c r="G89" s="323" t="s">
        <v>537</v>
      </c>
      <c r="H89" s="294">
        <v>2695206.24</v>
      </c>
      <c r="I89" s="294">
        <v>0</v>
      </c>
      <c r="J89" s="294">
        <v>42523.25</v>
      </c>
      <c r="K89" s="294">
        <v>0</v>
      </c>
      <c r="L89" s="294">
        <v>289690</v>
      </c>
      <c r="M89" s="294">
        <v>4628.22</v>
      </c>
      <c r="N89" s="294">
        <v>0</v>
      </c>
      <c r="O89" s="294">
        <v>0</v>
      </c>
      <c r="P89" s="294">
        <v>87044.3</v>
      </c>
      <c r="Q89" s="294">
        <v>23852.560000000001</v>
      </c>
      <c r="R89" s="294">
        <v>0</v>
      </c>
      <c r="S89" s="294">
        <v>0</v>
      </c>
      <c r="T89" s="294">
        <v>7175.75</v>
      </c>
      <c r="U89" s="294">
        <v>1149</v>
      </c>
      <c r="V89" s="294">
        <v>0</v>
      </c>
      <c r="W89" s="294">
        <v>214.38</v>
      </c>
      <c r="X89" s="294">
        <v>65706</v>
      </c>
      <c r="Y89" s="294">
        <v>3217189.7</v>
      </c>
      <c r="Z89" s="294">
        <v>1379747.69</v>
      </c>
      <c r="AA89" s="294">
        <v>0</v>
      </c>
      <c r="AB89" s="294">
        <v>431750.17</v>
      </c>
      <c r="AC89" s="294">
        <v>115934.22</v>
      </c>
      <c r="AD89" s="294">
        <v>207577.67</v>
      </c>
      <c r="AE89" s="294">
        <v>139446.62</v>
      </c>
      <c r="AF89" s="294">
        <v>84514.1</v>
      </c>
      <c r="AG89" s="294">
        <v>8035.05</v>
      </c>
      <c r="AH89" s="294">
        <v>6450.68</v>
      </c>
      <c r="AI89" s="294">
        <v>0</v>
      </c>
      <c r="AJ89" s="294">
        <v>0</v>
      </c>
      <c r="AK89" s="294">
        <v>123988.17</v>
      </c>
      <c r="AL89" s="294">
        <v>5150</v>
      </c>
      <c r="AM89" s="294">
        <v>4579.12</v>
      </c>
      <c r="AN89" s="294">
        <v>13555.51</v>
      </c>
      <c r="AO89" s="294">
        <v>60157.84</v>
      </c>
      <c r="AP89" s="294">
        <v>41332.1</v>
      </c>
      <c r="AQ89" s="294">
        <v>18220.87</v>
      </c>
      <c r="AR89" s="294">
        <v>93581.43</v>
      </c>
      <c r="AS89" s="294">
        <v>32962.14</v>
      </c>
      <c r="AT89" s="294">
        <v>0</v>
      </c>
      <c r="AU89" s="294">
        <v>78177.87</v>
      </c>
      <c r="AV89" s="294">
        <v>9471</v>
      </c>
      <c r="AW89" s="294">
        <v>0</v>
      </c>
      <c r="AX89" s="294">
        <v>61752.959999999999</v>
      </c>
      <c r="AY89" s="294">
        <v>73102.77</v>
      </c>
      <c r="AZ89" s="294">
        <v>214474.04</v>
      </c>
      <c r="BA89" s="294">
        <v>129938.16</v>
      </c>
      <c r="BB89" s="294">
        <v>0</v>
      </c>
      <c r="BC89" s="294">
        <v>0</v>
      </c>
      <c r="BD89" s="294">
        <v>0</v>
      </c>
      <c r="BE89" s="294">
        <v>3333900.1800000006</v>
      </c>
      <c r="BF89" s="294">
        <v>679265.74</v>
      </c>
      <c r="BG89" s="294">
        <v>-116710.48000000045</v>
      </c>
      <c r="BH89" s="294">
        <v>562555.25999999954</v>
      </c>
      <c r="BI89" s="294">
        <v>30279</v>
      </c>
      <c r="BJ89" s="294">
        <v>0</v>
      </c>
      <c r="BK89" s="294">
        <v>0</v>
      </c>
      <c r="BL89" s="294">
        <v>30279</v>
      </c>
      <c r="BM89" s="294">
        <v>0</v>
      </c>
      <c r="BN89" s="294">
        <v>26564</v>
      </c>
      <c r="BO89" s="294">
        <v>0</v>
      </c>
      <c r="BP89" s="294">
        <v>0</v>
      </c>
      <c r="BQ89" s="294">
        <v>26564</v>
      </c>
      <c r="BR89" s="294">
        <v>9800</v>
      </c>
      <c r="BS89" s="294">
        <v>3715</v>
      </c>
      <c r="BT89" s="294">
        <v>13515</v>
      </c>
      <c r="BU89" s="294">
        <v>0</v>
      </c>
      <c r="BV89" s="294">
        <v>0</v>
      </c>
      <c r="BW89" s="294">
        <v>0</v>
      </c>
      <c r="BX89" s="294">
        <v>0</v>
      </c>
      <c r="BY89" s="294">
        <v>0</v>
      </c>
      <c r="BZ89" s="294">
        <v>0</v>
      </c>
      <c r="CA89" s="294">
        <v>0</v>
      </c>
      <c r="CB89" s="294">
        <v>0</v>
      </c>
      <c r="CC89" s="294">
        <v>0</v>
      </c>
      <c r="CD89" s="294">
        <v>562555.25999999954</v>
      </c>
      <c r="CE89" s="294">
        <v>0</v>
      </c>
      <c r="CF89" s="294">
        <v>13515</v>
      </c>
      <c r="CG89" s="294">
        <v>0</v>
      </c>
      <c r="CH89" s="294">
        <v>0</v>
      </c>
      <c r="CI89" s="294">
        <f t="shared" si="1"/>
        <v>576070.25999999954</v>
      </c>
      <c r="CJ89" s="294">
        <v>541122.72</v>
      </c>
      <c r="CK89" s="294">
        <v>4101.1899999999996</v>
      </c>
      <c r="CL89" s="294">
        <v>0</v>
      </c>
      <c r="CM89" s="294">
        <v>537021.53</v>
      </c>
      <c r="CN89" s="294">
        <v>0</v>
      </c>
      <c r="CO89" s="294">
        <v>0</v>
      </c>
      <c r="CP89" s="294">
        <v>20363.47</v>
      </c>
      <c r="CQ89" s="294">
        <v>-958.75000000000068</v>
      </c>
      <c r="CR89" s="294">
        <v>17300.72</v>
      </c>
      <c r="CS89" s="294">
        <v>573726.97</v>
      </c>
      <c r="CT89" s="294">
        <v>2343.02</v>
      </c>
      <c r="CU89" s="294">
        <v>0</v>
      </c>
      <c r="CV89" s="294">
        <v>0</v>
      </c>
      <c r="CW89" s="294">
        <v>2343.02</v>
      </c>
      <c r="CX89" s="294"/>
      <c r="CY89" s="294"/>
      <c r="CZ89" s="294"/>
      <c r="DA89" s="294">
        <v>0</v>
      </c>
      <c r="DB89" s="294">
        <v>2343.02</v>
      </c>
      <c r="DC89" s="294">
        <v>0</v>
      </c>
      <c r="DD89" s="294">
        <v>0</v>
      </c>
      <c r="DE89" s="294">
        <v>0</v>
      </c>
      <c r="DF89" s="294">
        <v>0</v>
      </c>
      <c r="DG89" s="294">
        <v>0</v>
      </c>
      <c r="DH89" s="294">
        <v>0</v>
      </c>
      <c r="DI89" s="294">
        <v>0</v>
      </c>
      <c r="DJ89" s="294">
        <v>0</v>
      </c>
      <c r="DK89" s="294">
        <v>0</v>
      </c>
      <c r="DL89" s="294">
        <v>0</v>
      </c>
      <c r="DM89" s="294">
        <v>0</v>
      </c>
      <c r="DN89" s="294">
        <v>0</v>
      </c>
      <c r="DO89" s="294">
        <v>0</v>
      </c>
      <c r="DP89" s="294">
        <v>0</v>
      </c>
      <c r="DQ89" s="324"/>
      <c r="DR89" s="295">
        <v>2367005.52</v>
      </c>
      <c r="DS89" s="325">
        <v>966894.66000000061</v>
      </c>
      <c r="DT89" s="295">
        <v>73102.77</v>
      </c>
      <c r="DU89" s="295">
        <v>118072.61</v>
      </c>
      <c r="DV89" s="295">
        <v>1149</v>
      </c>
      <c r="DW89" s="295">
        <v>0</v>
      </c>
    </row>
    <row r="90" spans="1:127">
      <c r="A90" s="321">
        <v>3352</v>
      </c>
      <c r="B90" s="322" t="s">
        <v>427</v>
      </c>
      <c r="C90" s="321">
        <v>3352</v>
      </c>
      <c r="D90" s="323" t="s">
        <v>817</v>
      </c>
      <c r="E90" s="323" t="s">
        <v>539</v>
      </c>
      <c r="F90" s="323" t="s">
        <v>818</v>
      </c>
      <c r="G90" s="323" t="s">
        <v>800</v>
      </c>
      <c r="H90" s="294">
        <v>1135061.52</v>
      </c>
      <c r="I90" s="294">
        <v>0</v>
      </c>
      <c r="J90" s="294">
        <v>50684.58</v>
      </c>
      <c r="K90" s="294">
        <v>0</v>
      </c>
      <c r="L90" s="294">
        <v>97680</v>
      </c>
      <c r="M90" s="294">
        <v>1913.86</v>
      </c>
      <c r="N90" s="294">
        <v>0</v>
      </c>
      <c r="O90" s="294">
        <v>0</v>
      </c>
      <c r="P90" s="294">
        <v>54238.19</v>
      </c>
      <c r="Q90" s="294">
        <v>0</v>
      </c>
      <c r="R90" s="294">
        <v>0</v>
      </c>
      <c r="S90" s="294">
        <v>0</v>
      </c>
      <c r="T90" s="294">
        <v>0</v>
      </c>
      <c r="U90" s="294">
        <v>20.66</v>
      </c>
      <c r="V90" s="294">
        <v>0</v>
      </c>
      <c r="W90" s="294">
        <v>1528.33</v>
      </c>
      <c r="X90" s="294">
        <v>43038</v>
      </c>
      <c r="Y90" s="294">
        <v>1384165.1400000001</v>
      </c>
      <c r="Z90" s="294">
        <v>504703.25000000052</v>
      </c>
      <c r="AA90" s="294">
        <v>-9.16</v>
      </c>
      <c r="AB90" s="294">
        <v>0</v>
      </c>
      <c r="AC90" s="294">
        <v>321250.40000000031</v>
      </c>
      <c r="AD90" s="294">
        <v>1068.6499999999999</v>
      </c>
      <c r="AE90" s="294">
        <v>31.20000000000001</v>
      </c>
      <c r="AF90" s="294">
        <v>180458.07000000007</v>
      </c>
      <c r="AG90" s="294">
        <v>12249.550000000003</v>
      </c>
      <c r="AH90" s="294">
        <v>5438.5</v>
      </c>
      <c r="AI90" s="294">
        <v>0</v>
      </c>
      <c r="AJ90" s="294">
        <v>317.2</v>
      </c>
      <c r="AK90" s="294">
        <v>15957.449999999999</v>
      </c>
      <c r="AL90" s="294">
        <v>0</v>
      </c>
      <c r="AM90" s="294">
        <v>2207.1</v>
      </c>
      <c r="AN90" s="294">
        <v>6583.0599999999995</v>
      </c>
      <c r="AO90" s="294">
        <v>29980.330000000005</v>
      </c>
      <c r="AP90" s="294">
        <v>7207.96</v>
      </c>
      <c r="AQ90" s="294">
        <v>26893.699999999997</v>
      </c>
      <c r="AR90" s="294">
        <v>24795.149999999998</v>
      </c>
      <c r="AS90" s="294">
        <v>3198</v>
      </c>
      <c r="AT90" s="294">
        <v>0</v>
      </c>
      <c r="AU90" s="294">
        <v>22786.379999999997</v>
      </c>
      <c r="AV90" s="294">
        <v>5139.75</v>
      </c>
      <c r="AW90" s="294">
        <v>2583</v>
      </c>
      <c r="AX90" s="294">
        <v>52763.25</v>
      </c>
      <c r="AY90" s="294">
        <v>130756.11000000002</v>
      </c>
      <c r="AZ90" s="294">
        <v>4663.0200000000004</v>
      </c>
      <c r="BA90" s="294">
        <v>121113.98999999999</v>
      </c>
      <c r="BB90" s="294">
        <v>0</v>
      </c>
      <c r="BC90" s="294">
        <v>0</v>
      </c>
      <c r="BD90" s="294">
        <v>0</v>
      </c>
      <c r="BE90" s="294">
        <v>1482135.9100000008</v>
      </c>
      <c r="BF90" s="294">
        <v>-43705.849999999926</v>
      </c>
      <c r="BG90" s="294">
        <v>-97970.770000000717</v>
      </c>
      <c r="BH90" s="294">
        <v>-141676.62000000064</v>
      </c>
      <c r="BI90" s="294">
        <v>0</v>
      </c>
      <c r="BJ90" s="294">
        <v>0</v>
      </c>
      <c r="BK90" s="294">
        <v>0</v>
      </c>
      <c r="BL90" s="294">
        <v>0</v>
      </c>
      <c r="BM90" s="294">
        <v>0</v>
      </c>
      <c r="BN90" s="294">
        <v>0</v>
      </c>
      <c r="BO90" s="294">
        <v>0</v>
      </c>
      <c r="BP90" s="294">
        <v>0</v>
      </c>
      <c r="BQ90" s="294">
        <v>0</v>
      </c>
      <c r="BR90" s="294">
        <v>0</v>
      </c>
      <c r="BS90" s="294">
        <v>0</v>
      </c>
      <c r="BT90" s="294">
        <v>0</v>
      </c>
      <c r="BU90" s="294">
        <v>0</v>
      </c>
      <c r="BV90" s="294">
        <v>0</v>
      </c>
      <c r="BW90" s="294">
        <v>0</v>
      </c>
      <c r="BX90" s="294">
        <v>0</v>
      </c>
      <c r="BY90" s="294">
        <v>0</v>
      </c>
      <c r="BZ90" s="294">
        <v>0</v>
      </c>
      <c r="CA90" s="294">
        <v>0</v>
      </c>
      <c r="CB90" s="294">
        <v>0</v>
      </c>
      <c r="CC90" s="294">
        <v>0</v>
      </c>
      <c r="CD90" s="294">
        <v>-141676.62000000064</v>
      </c>
      <c r="CE90" s="294">
        <v>0</v>
      </c>
      <c r="CF90" s="294">
        <v>0</v>
      </c>
      <c r="CG90" s="294">
        <v>0</v>
      </c>
      <c r="CH90" s="294">
        <v>0</v>
      </c>
      <c r="CI90" s="294">
        <f t="shared" si="1"/>
        <v>-141676.62000000064</v>
      </c>
      <c r="CJ90" s="294">
        <v>0</v>
      </c>
      <c r="CK90" s="294">
        <v>0</v>
      </c>
      <c r="CL90" s="294">
        <v>0</v>
      </c>
      <c r="CM90" s="294">
        <v>0</v>
      </c>
      <c r="CN90" s="294">
        <v>0</v>
      </c>
      <c r="CO90" s="294">
        <v>0</v>
      </c>
      <c r="CP90" s="294">
        <v>0</v>
      </c>
      <c r="CQ90" s="294">
        <v>0</v>
      </c>
      <c r="CR90" s="294">
        <v>0</v>
      </c>
      <c r="CS90" s="294">
        <v>0</v>
      </c>
      <c r="CT90" s="294">
        <v>0</v>
      </c>
      <c r="CU90" s="294">
        <v>0</v>
      </c>
      <c r="CV90" s="294">
        <v>0</v>
      </c>
      <c r="CW90" s="294">
        <v>0</v>
      </c>
      <c r="CX90" s="294"/>
      <c r="CY90" s="294"/>
      <c r="CZ90" s="294"/>
      <c r="DA90" s="294">
        <v>-141744.51000000065</v>
      </c>
      <c r="DB90" s="294">
        <v>-141744.51000000065</v>
      </c>
      <c r="DC90" s="294">
        <v>0</v>
      </c>
      <c r="DD90" s="294">
        <v>67.89</v>
      </c>
      <c r="DE90" s="294">
        <v>0</v>
      </c>
      <c r="DF90" s="294">
        <v>0</v>
      </c>
      <c r="DG90" s="294">
        <v>0</v>
      </c>
      <c r="DH90" s="294">
        <v>0</v>
      </c>
      <c r="DI90" s="294">
        <v>0</v>
      </c>
      <c r="DJ90" s="294">
        <v>0</v>
      </c>
      <c r="DK90" s="294">
        <v>67.89</v>
      </c>
      <c r="DL90" s="294">
        <v>0</v>
      </c>
      <c r="DM90" s="294">
        <v>0</v>
      </c>
      <c r="DN90" s="294">
        <v>0</v>
      </c>
      <c r="DO90" s="294">
        <v>0</v>
      </c>
      <c r="DP90" s="294">
        <v>0</v>
      </c>
      <c r="DQ90" s="324">
        <v>6.4028427004814148E-10</v>
      </c>
      <c r="DR90" s="295">
        <v>1019751.960000001</v>
      </c>
      <c r="DS90" s="325">
        <v>462383.94999999984</v>
      </c>
      <c r="DT90" s="295">
        <v>130756.11000000002</v>
      </c>
      <c r="DU90" s="295">
        <v>54238.19</v>
      </c>
      <c r="DV90" s="295">
        <v>20.66</v>
      </c>
      <c r="DW90" s="295">
        <v>0</v>
      </c>
    </row>
    <row r="91" spans="1:127">
      <c r="A91" s="321">
        <v>2005</v>
      </c>
      <c r="B91" s="322" t="s">
        <v>428</v>
      </c>
      <c r="C91" s="321">
        <v>2005</v>
      </c>
      <c r="D91" s="323" t="s">
        <v>817</v>
      </c>
      <c r="E91" s="323" t="s">
        <v>539</v>
      </c>
      <c r="F91" s="323" t="s">
        <v>818</v>
      </c>
      <c r="G91" s="323" t="s">
        <v>800</v>
      </c>
      <c r="H91" s="294">
        <v>3267340.1</v>
      </c>
      <c r="I91" s="294">
        <v>0</v>
      </c>
      <c r="J91" s="294">
        <v>109553.54</v>
      </c>
      <c r="K91" s="294">
        <v>0</v>
      </c>
      <c r="L91" s="294">
        <v>220980</v>
      </c>
      <c r="M91" s="294">
        <v>1200</v>
      </c>
      <c r="N91" s="294">
        <v>19900</v>
      </c>
      <c r="O91" s="294">
        <v>18740</v>
      </c>
      <c r="P91" s="294">
        <v>48877.430000000022</v>
      </c>
      <c r="Q91" s="294">
        <v>48053.88</v>
      </c>
      <c r="R91" s="294">
        <v>0</v>
      </c>
      <c r="S91" s="294">
        <v>0</v>
      </c>
      <c r="T91" s="294">
        <v>34720.119999999995</v>
      </c>
      <c r="U91" s="294">
        <v>28711</v>
      </c>
      <c r="V91" s="294">
        <v>0</v>
      </c>
      <c r="W91" s="294">
        <v>11434.19</v>
      </c>
      <c r="X91" s="294">
        <v>96391</v>
      </c>
      <c r="Y91" s="294">
        <v>3905901.2600000002</v>
      </c>
      <c r="Z91" s="294">
        <v>1786869.6599999971</v>
      </c>
      <c r="AA91" s="294">
        <v>0</v>
      </c>
      <c r="AB91" s="294">
        <v>489676.32</v>
      </c>
      <c r="AC91" s="294">
        <v>71380.229999999166</v>
      </c>
      <c r="AD91" s="294">
        <v>233977.71</v>
      </c>
      <c r="AE91" s="294">
        <v>0</v>
      </c>
      <c r="AF91" s="294">
        <v>94450.629999999772</v>
      </c>
      <c r="AG91" s="294">
        <v>11712.439999999879</v>
      </c>
      <c r="AH91" s="294">
        <v>5451</v>
      </c>
      <c r="AI91" s="294">
        <v>0</v>
      </c>
      <c r="AJ91" s="294">
        <v>3871.57</v>
      </c>
      <c r="AK91" s="294">
        <v>21050.720000000005</v>
      </c>
      <c r="AL91" s="294">
        <v>4138.5</v>
      </c>
      <c r="AM91" s="294">
        <v>84844.01999999999</v>
      </c>
      <c r="AN91" s="294">
        <v>-304.78999999999996</v>
      </c>
      <c r="AO91" s="294">
        <v>62273.809999999983</v>
      </c>
      <c r="AP91" s="294">
        <v>55649.66</v>
      </c>
      <c r="AQ91" s="294">
        <v>15868.049999999994</v>
      </c>
      <c r="AR91" s="294">
        <v>97745.780000000042</v>
      </c>
      <c r="AS91" s="294">
        <v>1136.3900000000001</v>
      </c>
      <c r="AT91" s="294">
        <v>0</v>
      </c>
      <c r="AU91" s="294">
        <v>41608.109999999986</v>
      </c>
      <c r="AV91" s="294">
        <v>18745.650000000001</v>
      </c>
      <c r="AW91" s="294">
        <v>0</v>
      </c>
      <c r="AX91" s="294">
        <v>123140.66000000002</v>
      </c>
      <c r="AY91" s="294">
        <v>225986.68999999989</v>
      </c>
      <c r="AZ91" s="294">
        <v>22343.96</v>
      </c>
      <c r="BA91" s="294">
        <v>273628.06000000006</v>
      </c>
      <c r="BB91" s="294">
        <v>0</v>
      </c>
      <c r="BC91" s="294">
        <v>0</v>
      </c>
      <c r="BD91" s="294">
        <v>0</v>
      </c>
      <c r="BE91" s="294">
        <v>3825534.2499999963</v>
      </c>
      <c r="BF91" s="294">
        <v>-85012.290000000328</v>
      </c>
      <c r="BG91" s="294">
        <v>80367.010000003967</v>
      </c>
      <c r="BH91" s="294">
        <v>-4645.2799999963609</v>
      </c>
      <c r="BI91" s="294">
        <v>27491.5</v>
      </c>
      <c r="BJ91" s="294">
        <v>0</v>
      </c>
      <c r="BK91" s="294">
        <v>0</v>
      </c>
      <c r="BL91" s="294">
        <v>27491.5</v>
      </c>
      <c r="BM91" s="294">
        <v>0</v>
      </c>
      <c r="BN91" s="294">
        <v>17544.059999999998</v>
      </c>
      <c r="BO91" s="294">
        <v>0</v>
      </c>
      <c r="BP91" s="294">
        <v>9947.44</v>
      </c>
      <c r="BQ91" s="294">
        <v>27491.5</v>
      </c>
      <c r="BR91" s="294">
        <v>0</v>
      </c>
      <c r="BS91" s="294">
        <v>0</v>
      </c>
      <c r="BT91" s="294">
        <v>0</v>
      </c>
      <c r="BU91" s="294">
        <v>0</v>
      </c>
      <c r="BV91" s="294">
        <v>0</v>
      </c>
      <c r="BW91" s="294">
        <v>0</v>
      </c>
      <c r="BX91" s="294">
        <v>0</v>
      </c>
      <c r="BY91" s="294">
        <v>0</v>
      </c>
      <c r="BZ91" s="294">
        <v>0</v>
      </c>
      <c r="CA91" s="294">
        <v>0</v>
      </c>
      <c r="CB91" s="294">
        <v>0</v>
      </c>
      <c r="CC91" s="294">
        <v>0</v>
      </c>
      <c r="CD91" s="294">
        <v>-4645.2799999963609</v>
      </c>
      <c r="CE91" s="294">
        <v>0</v>
      </c>
      <c r="CF91" s="294">
        <v>0</v>
      </c>
      <c r="CG91" s="294">
        <v>0</v>
      </c>
      <c r="CH91" s="294">
        <v>0</v>
      </c>
      <c r="CI91" s="294">
        <f t="shared" si="1"/>
        <v>-4645.2799999963609</v>
      </c>
      <c r="CJ91" s="294">
        <v>0</v>
      </c>
      <c r="CK91" s="294">
        <v>0</v>
      </c>
      <c r="CL91" s="294">
        <v>0</v>
      </c>
      <c r="CM91" s="294">
        <v>0</v>
      </c>
      <c r="CN91" s="294">
        <v>0</v>
      </c>
      <c r="CO91" s="294">
        <v>0</v>
      </c>
      <c r="CP91" s="294">
        <v>0</v>
      </c>
      <c r="CQ91" s="294">
        <v>0</v>
      </c>
      <c r="CR91" s="294">
        <v>0</v>
      </c>
      <c r="CS91" s="294">
        <v>0</v>
      </c>
      <c r="CT91" s="294">
        <v>0</v>
      </c>
      <c r="CU91" s="294">
        <v>0</v>
      </c>
      <c r="CV91" s="294">
        <v>0</v>
      </c>
      <c r="CW91" s="294">
        <v>0</v>
      </c>
      <c r="CX91" s="294"/>
      <c r="CY91" s="294"/>
      <c r="CZ91" s="294"/>
      <c r="DA91" s="294">
        <v>121565.27000000357</v>
      </c>
      <c r="DB91" s="294">
        <v>121565.27000000357</v>
      </c>
      <c r="DC91" s="294">
        <v>0</v>
      </c>
      <c r="DD91" s="294">
        <v>0</v>
      </c>
      <c r="DE91" s="294">
        <v>6826.3</v>
      </c>
      <c r="DF91" s="294">
        <v>0</v>
      </c>
      <c r="DG91" s="294">
        <v>-37008.43</v>
      </c>
      <c r="DH91" s="294">
        <v>-146</v>
      </c>
      <c r="DI91" s="294">
        <v>0</v>
      </c>
      <c r="DJ91" s="294">
        <v>-15593</v>
      </c>
      <c r="DK91" s="294">
        <v>-126210.55</v>
      </c>
      <c r="DL91" s="294">
        <v>0</v>
      </c>
      <c r="DM91" s="294">
        <v>0</v>
      </c>
      <c r="DN91" s="294">
        <v>0</v>
      </c>
      <c r="DO91" s="294">
        <v>0</v>
      </c>
      <c r="DP91" s="294">
        <v>0</v>
      </c>
      <c r="DQ91" s="324">
        <v>-3.5652192309498787E-9</v>
      </c>
      <c r="DR91" s="295">
        <v>2768356.409999996</v>
      </c>
      <c r="DS91" s="325">
        <v>1057177.8400000003</v>
      </c>
      <c r="DT91" s="295">
        <v>225986.68999999989</v>
      </c>
      <c r="DU91" s="295">
        <v>150391.43000000002</v>
      </c>
      <c r="DV91" s="295">
        <v>28711</v>
      </c>
      <c r="DW91" s="295">
        <v>0</v>
      </c>
    </row>
    <row r="92" spans="1:127">
      <c r="A92" s="321">
        <v>4063</v>
      </c>
      <c r="B92" s="322" t="s">
        <v>793</v>
      </c>
      <c r="C92" s="321">
        <v>4063</v>
      </c>
      <c r="D92" s="323" t="s">
        <v>817</v>
      </c>
      <c r="E92" s="323" t="s">
        <v>543</v>
      </c>
      <c r="F92" s="323" t="s">
        <v>818</v>
      </c>
      <c r="G92" s="323" t="s">
        <v>537</v>
      </c>
      <c r="H92" s="294">
        <v>6472151.2199999997</v>
      </c>
      <c r="I92" s="294">
        <v>0</v>
      </c>
      <c r="J92" s="294">
        <v>141086.79999999999</v>
      </c>
      <c r="K92" s="294">
        <v>0</v>
      </c>
      <c r="L92" s="294">
        <v>368550</v>
      </c>
      <c r="M92" s="294">
        <v>11313.86</v>
      </c>
      <c r="N92" s="294">
        <v>146923.43</v>
      </c>
      <c r="O92" s="294">
        <v>40004</v>
      </c>
      <c r="P92" s="294">
        <v>32020.39</v>
      </c>
      <c r="Q92" s="294">
        <v>30998.03</v>
      </c>
      <c r="R92" s="294">
        <v>0</v>
      </c>
      <c r="S92" s="294">
        <v>0</v>
      </c>
      <c r="T92" s="294">
        <v>8905.5</v>
      </c>
      <c r="U92" s="294">
        <v>31865.32</v>
      </c>
      <c r="V92" s="294">
        <v>0</v>
      </c>
      <c r="W92" s="294">
        <v>26950</v>
      </c>
      <c r="X92" s="294">
        <v>12489.67</v>
      </c>
      <c r="Y92" s="294">
        <v>7323258</v>
      </c>
      <c r="Z92" s="294">
        <v>3803613.68</v>
      </c>
      <c r="AA92" s="294">
        <v>0</v>
      </c>
      <c r="AB92" s="294">
        <v>897089.63</v>
      </c>
      <c r="AC92" s="294">
        <v>315098.88</v>
      </c>
      <c r="AD92" s="294">
        <v>443601.93</v>
      </c>
      <c r="AE92" s="294">
        <v>66829.95</v>
      </c>
      <c r="AF92" s="294">
        <v>0</v>
      </c>
      <c r="AG92" s="294">
        <v>65387.66</v>
      </c>
      <c r="AH92" s="294">
        <v>19650.11</v>
      </c>
      <c r="AI92" s="294">
        <v>0</v>
      </c>
      <c r="AJ92" s="294">
        <v>0</v>
      </c>
      <c r="AK92" s="294">
        <v>222768.15</v>
      </c>
      <c r="AL92" s="294">
        <v>15676.69</v>
      </c>
      <c r="AM92" s="294">
        <v>13207.16</v>
      </c>
      <c r="AN92" s="294">
        <v>7768.93</v>
      </c>
      <c r="AO92" s="294">
        <v>172782.76</v>
      </c>
      <c r="AP92" s="294">
        <v>113419.32</v>
      </c>
      <c r="AQ92" s="294">
        <v>84862.12</v>
      </c>
      <c r="AR92" s="294">
        <v>135435.99</v>
      </c>
      <c r="AS92" s="294">
        <v>217399.5</v>
      </c>
      <c r="AT92" s="294">
        <v>61300.66</v>
      </c>
      <c r="AU92" s="294">
        <v>134871.63</v>
      </c>
      <c r="AV92" s="294">
        <v>25714.560000000001</v>
      </c>
      <c r="AW92" s="294">
        <v>0</v>
      </c>
      <c r="AX92" s="294">
        <v>160060.81</v>
      </c>
      <c r="AY92" s="294">
        <v>88646.54</v>
      </c>
      <c r="AZ92" s="294">
        <v>14822.1</v>
      </c>
      <c r="BA92" s="294">
        <v>259001.2</v>
      </c>
      <c r="BB92" s="294">
        <v>0</v>
      </c>
      <c r="BC92" s="294">
        <v>0</v>
      </c>
      <c r="BD92" s="294">
        <v>0</v>
      </c>
      <c r="BE92" s="294">
        <f>SUM(Z92:BD92)</f>
        <v>7339009.9600000009</v>
      </c>
      <c r="BF92" s="294">
        <v>562693</v>
      </c>
      <c r="BG92" s="294">
        <f>SUM(H92:X92)-SUM(Z92:BD92)</f>
        <v>-15751.740000001155</v>
      </c>
      <c r="BH92" s="294">
        <v>627229.27999999933</v>
      </c>
      <c r="BI92" s="294">
        <v>16327</v>
      </c>
      <c r="BJ92" s="294">
        <v>0</v>
      </c>
      <c r="BK92" s="294">
        <v>0</v>
      </c>
      <c r="BL92" s="294">
        <v>16327</v>
      </c>
      <c r="BM92" s="294">
        <v>0</v>
      </c>
      <c r="BN92" s="294">
        <v>0</v>
      </c>
      <c r="BO92" s="294">
        <v>0</v>
      </c>
      <c r="BP92" s="294">
        <v>0</v>
      </c>
      <c r="BQ92" s="294">
        <v>0</v>
      </c>
      <c r="BR92" s="294">
        <v>23388</v>
      </c>
      <c r="BS92" s="294">
        <v>16327</v>
      </c>
      <c r="BT92" s="294">
        <v>39715</v>
      </c>
      <c r="BU92" s="294">
        <v>0</v>
      </c>
      <c r="BV92" s="294">
        <v>0</v>
      </c>
      <c r="BW92" s="294">
        <v>0</v>
      </c>
      <c r="BX92" s="294">
        <v>0</v>
      </c>
      <c r="BY92" s="294">
        <v>0</v>
      </c>
      <c r="BZ92" s="294">
        <v>0</v>
      </c>
      <c r="CA92" s="294">
        <v>0</v>
      </c>
      <c r="CB92" s="294">
        <v>0</v>
      </c>
      <c r="CC92" s="294">
        <v>0</v>
      </c>
      <c r="CD92" s="294">
        <v>627229.27999999933</v>
      </c>
      <c r="CE92" s="294">
        <v>0</v>
      </c>
      <c r="CF92" s="294">
        <v>39715</v>
      </c>
      <c r="CG92" s="294">
        <v>0</v>
      </c>
      <c r="CH92" s="294">
        <v>0</v>
      </c>
      <c r="CI92" s="294">
        <f t="shared" si="1"/>
        <v>666944.27999999933</v>
      </c>
      <c r="CJ92" s="294">
        <v>100000</v>
      </c>
      <c r="CK92" s="294">
        <v>477367</v>
      </c>
      <c r="CL92" s="294">
        <v>6068</v>
      </c>
      <c r="CM92" s="294">
        <v>-371298</v>
      </c>
      <c r="CN92" s="294">
        <v>0</v>
      </c>
      <c r="CO92" s="294">
        <v>0</v>
      </c>
      <c r="CP92" s="294">
        <v>55475</v>
      </c>
      <c r="CQ92" s="294">
        <v>-65348</v>
      </c>
      <c r="CR92" s="294">
        <v>0</v>
      </c>
      <c r="CS92" s="294">
        <v>-381171</v>
      </c>
      <c r="CT92" s="294">
        <v>1274384</v>
      </c>
      <c r="CU92" s="294">
        <v>0</v>
      </c>
      <c r="CV92" s="294">
        <v>0</v>
      </c>
      <c r="CW92" s="294">
        <v>1274384</v>
      </c>
      <c r="CX92" s="294"/>
      <c r="CY92" s="294"/>
      <c r="CZ92" s="294"/>
      <c r="DA92" s="294">
        <v>0</v>
      </c>
      <c r="DB92" s="294">
        <v>1274384</v>
      </c>
      <c r="DC92" s="294">
        <v>0</v>
      </c>
      <c r="DD92" s="294">
        <v>68493</v>
      </c>
      <c r="DE92" s="294">
        <v>0</v>
      </c>
      <c r="DF92" s="294">
        <v>0</v>
      </c>
      <c r="DG92" s="294">
        <v>-9573</v>
      </c>
      <c r="DH92" s="294">
        <v>-53917.72</v>
      </c>
      <c r="DI92" s="294">
        <v>0</v>
      </c>
      <c r="DJ92" s="294">
        <v>0</v>
      </c>
      <c r="DK92" s="294">
        <v>5002.2799999999988</v>
      </c>
      <c r="DL92" s="294">
        <v>29149</v>
      </c>
      <c r="DM92" s="294">
        <v>0</v>
      </c>
      <c r="DN92" s="294">
        <v>-80679</v>
      </c>
      <c r="DO92" s="294">
        <v>-2412</v>
      </c>
      <c r="DP92" s="294">
        <v>-177326</v>
      </c>
      <c r="DQ92" s="324">
        <v>0.01</v>
      </c>
      <c r="DR92" s="295">
        <v>5511333.7200000007</v>
      </c>
      <c r="DS92" s="325">
        <v>1747388</v>
      </c>
      <c r="DT92" s="295">
        <v>88647</v>
      </c>
      <c r="DU92" s="295">
        <v>111928</v>
      </c>
      <c r="DV92" s="295">
        <v>31865</v>
      </c>
      <c r="DW92" s="295">
        <v>-231268</v>
      </c>
    </row>
    <row r="93" spans="1:127">
      <c r="A93" s="321">
        <v>1016</v>
      </c>
      <c r="B93" s="166" t="s">
        <v>429</v>
      </c>
      <c r="C93" s="321">
        <v>1016</v>
      </c>
      <c r="D93" s="323" t="s">
        <v>817</v>
      </c>
      <c r="E93" s="323" t="s">
        <v>536</v>
      </c>
      <c r="F93" s="323" t="s">
        <v>818</v>
      </c>
      <c r="G93" s="323" t="s">
        <v>537</v>
      </c>
      <c r="H93" s="294">
        <v>630708.53</v>
      </c>
      <c r="I93" s="294">
        <v>0</v>
      </c>
      <c r="J93" s="294">
        <v>48190.15</v>
      </c>
      <c r="K93" s="294">
        <v>0</v>
      </c>
      <c r="L93" s="294">
        <v>0</v>
      </c>
      <c r="M93" s="294">
        <v>0</v>
      </c>
      <c r="N93" s="294">
        <v>0</v>
      </c>
      <c r="O93" s="294">
        <v>0</v>
      </c>
      <c r="P93" s="294">
        <v>1682.5499999999997</v>
      </c>
      <c r="Q93" s="294">
        <v>1170</v>
      </c>
      <c r="R93" s="294">
        <v>0</v>
      </c>
      <c r="S93" s="294">
        <v>0</v>
      </c>
      <c r="T93" s="294">
        <v>32465.439999999991</v>
      </c>
      <c r="U93" s="294">
        <v>16091.41</v>
      </c>
      <c r="V93" s="294">
        <v>0</v>
      </c>
      <c r="W93" s="294">
        <v>0</v>
      </c>
      <c r="X93" s="294">
        <v>0</v>
      </c>
      <c r="Y93" s="294">
        <v>730308.08000000007</v>
      </c>
      <c r="Z93" s="294">
        <v>164417.31999999983</v>
      </c>
      <c r="AA93" s="294">
        <v>0</v>
      </c>
      <c r="AB93" s="294">
        <v>244241.53999999998</v>
      </c>
      <c r="AC93" s="294">
        <v>4724.3399999998219</v>
      </c>
      <c r="AD93" s="294">
        <v>56024.35</v>
      </c>
      <c r="AE93" s="294">
        <v>0</v>
      </c>
      <c r="AF93" s="294">
        <v>49266.549999999697</v>
      </c>
      <c r="AG93" s="294">
        <v>2209.8800000000028</v>
      </c>
      <c r="AH93" s="294">
        <v>2215</v>
      </c>
      <c r="AI93" s="294">
        <v>0</v>
      </c>
      <c r="AJ93" s="294">
        <v>0</v>
      </c>
      <c r="AK93" s="294">
        <v>6169.1600000000008</v>
      </c>
      <c r="AL93" s="294">
        <v>2745</v>
      </c>
      <c r="AM93" s="294">
        <v>829.59000000000015</v>
      </c>
      <c r="AN93" s="294">
        <v>688.2</v>
      </c>
      <c r="AO93" s="294">
        <v>12382.44</v>
      </c>
      <c r="AP93" s="294">
        <v>0</v>
      </c>
      <c r="AQ93" s="294">
        <v>14395.210000000003</v>
      </c>
      <c r="AR93" s="294">
        <v>3699.2299999999987</v>
      </c>
      <c r="AS93" s="294">
        <v>0</v>
      </c>
      <c r="AT93" s="294">
        <v>0</v>
      </c>
      <c r="AU93" s="294">
        <v>15504.719999999998</v>
      </c>
      <c r="AV93" s="294">
        <v>3291.75</v>
      </c>
      <c r="AW93" s="294">
        <v>0</v>
      </c>
      <c r="AX93" s="294">
        <v>4437.7700000000004</v>
      </c>
      <c r="AY93" s="294">
        <v>18692.400000000001</v>
      </c>
      <c r="AZ93" s="294">
        <v>7092</v>
      </c>
      <c r="BA93" s="294">
        <v>18890.38</v>
      </c>
      <c r="BB93" s="294">
        <v>0</v>
      </c>
      <c r="BC93" s="294">
        <v>0</v>
      </c>
      <c r="BD93" s="294">
        <v>0</v>
      </c>
      <c r="BE93" s="294">
        <v>631916.82999999914</v>
      </c>
      <c r="BF93" s="294">
        <v>46976.600000000202</v>
      </c>
      <c r="BG93" s="294">
        <v>98391.250000000931</v>
      </c>
      <c r="BH93" s="294">
        <v>145367.85000000114</v>
      </c>
      <c r="BI93" s="294">
        <v>4803.25</v>
      </c>
      <c r="BJ93" s="294">
        <v>0</v>
      </c>
      <c r="BK93" s="294">
        <v>0</v>
      </c>
      <c r="BL93" s="294">
        <v>4803.25</v>
      </c>
      <c r="BM93" s="294">
        <v>0</v>
      </c>
      <c r="BN93" s="294">
        <v>7861.83</v>
      </c>
      <c r="BO93" s="294">
        <v>0</v>
      </c>
      <c r="BP93" s="294">
        <v>0</v>
      </c>
      <c r="BQ93" s="294">
        <v>7861.83</v>
      </c>
      <c r="BR93" s="294">
        <v>5992.58</v>
      </c>
      <c r="BS93" s="294">
        <v>-3058.58</v>
      </c>
      <c r="BT93" s="294">
        <v>2934</v>
      </c>
      <c r="BU93" s="294">
        <v>0</v>
      </c>
      <c r="BV93" s="294">
        <v>0</v>
      </c>
      <c r="BW93" s="294">
        <v>0</v>
      </c>
      <c r="BX93" s="294">
        <v>0</v>
      </c>
      <c r="BY93" s="294">
        <v>0</v>
      </c>
      <c r="BZ93" s="294">
        <v>0</v>
      </c>
      <c r="CA93" s="294">
        <v>0</v>
      </c>
      <c r="CB93" s="294">
        <v>0</v>
      </c>
      <c r="CC93" s="294">
        <v>0</v>
      </c>
      <c r="CD93" s="294">
        <v>145367.85000000114</v>
      </c>
      <c r="CE93" s="294">
        <v>0</v>
      </c>
      <c r="CF93" s="294">
        <v>2934</v>
      </c>
      <c r="CG93" s="294">
        <v>0</v>
      </c>
      <c r="CH93" s="294">
        <v>0</v>
      </c>
      <c r="CI93" s="294">
        <f t="shared" si="1"/>
        <v>148301.85000000114</v>
      </c>
      <c r="CJ93" s="294">
        <v>165005.96</v>
      </c>
      <c r="CK93" s="294">
        <v>0</v>
      </c>
      <c r="CL93" s="294">
        <v>0</v>
      </c>
      <c r="CM93" s="294">
        <v>165005.96</v>
      </c>
      <c r="CN93" s="294">
        <v>0</v>
      </c>
      <c r="CO93" s="294">
        <v>0</v>
      </c>
      <c r="CP93" s="294">
        <v>785.99</v>
      </c>
      <c r="CQ93" s="294">
        <v>0</v>
      </c>
      <c r="CR93" s="294">
        <v>-15460.93991228069</v>
      </c>
      <c r="CS93" s="294">
        <v>150331.0100877193</v>
      </c>
      <c r="CT93" s="294">
        <v>0</v>
      </c>
      <c r="CU93" s="294">
        <v>0</v>
      </c>
      <c r="CV93" s="294">
        <v>0</v>
      </c>
      <c r="CW93" s="294">
        <v>0</v>
      </c>
      <c r="CX93" s="294"/>
      <c r="CY93" s="294"/>
      <c r="CZ93" s="294"/>
      <c r="DA93" s="294">
        <v>0</v>
      </c>
      <c r="DB93" s="294">
        <v>0</v>
      </c>
      <c r="DC93" s="294">
        <v>0</v>
      </c>
      <c r="DD93" s="294">
        <v>791.39</v>
      </c>
      <c r="DE93" s="294">
        <v>0</v>
      </c>
      <c r="DF93" s="294">
        <v>0</v>
      </c>
      <c r="DG93" s="294">
        <v>-2820.34</v>
      </c>
      <c r="DH93" s="294">
        <v>0</v>
      </c>
      <c r="DI93" s="294">
        <v>0</v>
      </c>
      <c r="DJ93" s="294">
        <v>0</v>
      </c>
      <c r="DK93" s="294">
        <v>-2028.9500000000003</v>
      </c>
      <c r="DL93" s="294">
        <v>0</v>
      </c>
      <c r="DM93" s="294">
        <v>0</v>
      </c>
      <c r="DN93" s="294">
        <v>0</v>
      </c>
      <c r="DO93" s="294">
        <v>0</v>
      </c>
      <c r="DP93" s="294">
        <v>0</v>
      </c>
      <c r="DQ93" s="324">
        <v>-0.21008771928609349</v>
      </c>
      <c r="DR93" s="295">
        <v>520883.97999999928</v>
      </c>
      <c r="DS93" s="325">
        <v>111032.84999999986</v>
      </c>
      <c r="DT93" s="295">
        <v>18692.400000000001</v>
      </c>
      <c r="DU93" s="295">
        <v>35317.989999999991</v>
      </c>
      <c r="DV93" s="295">
        <v>16091.41</v>
      </c>
      <c r="DW93" s="295">
        <v>0</v>
      </c>
    </row>
    <row r="94" spans="1:127">
      <c r="A94" s="321">
        <v>2115</v>
      </c>
      <c r="B94" s="322" t="s">
        <v>430</v>
      </c>
      <c r="C94" s="321">
        <v>2115</v>
      </c>
      <c r="D94" s="323" t="s">
        <v>817</v>
      </c>
      <c r="E94" s="323" t="s">
        <v>539</v>
      </c>
      <c r="F94" s="323" t="s">
        <v>818</v>
      </c>
      <c r="G94" s="323" t="s">
        <v>537</v>
      </c>
      <c r="H94" s="294">
        <v>1928376.84</v>
      </c>
      <c r="I94" s="294">
        <v>0</v>
      </c>
      <c r="J94" s="294">
        <v>102273</v>
      </c>
      <c r="K94" s="294">
        <v>0</v>
      </c>
      <c r="L94" s="294">
        <v>236630</v>
      </c>
      <c r="M94" s="294">
        <v>6742.57</v>
      </c>
      <c r="N94" s="294">
        <v>0</v>
      </c>
      <c r="O94" s="294">
        <v>0</v>
      </c>
      <c r="P94" s="294">
        <v>29432.100000000013</v>
      </c>
      <c r="Q94" s="294">
        <v>0</v>
      </c>
      <c r="R94" s="294">
        <v>0</v>
      </c>
      <c r="S94" s="294">
        <v>0</v>
      </c>
      <c r="T94" s="294">
        <v>281.88</v>
      </c>
      <c r="U94" s="294">
        <v>54692.959999999999</v>
      </c>
      <c r="V94" s="294">
        <v>0</v>
      </c>
      <c r="W94" s="294">
        <v>13807.21</v>
      </c>
      <c r="X94" s="294">
        <v>49496</v>
      </c>
      <c r="Y94" s="294">
        <v>2421732.5599999996</v>
      </c>
      <c r="Z94" s="294">
        <v>1191251.5800000005</v>
      </c>
      <c r="AA94" s="294">
        <v>0</v>
      </c>
      <c r="AB94" s="294">
        <v>315479.62</v>
      </c>
      <c r="AC94" s="294">
        <v>-6.9849193096160889E-10</v>
      </c>
      <c r="AD94" s="294">
        <v>179590.97</v>
      </c>
      <c r="AE94" s="294">
        <v>88578.01</v>
      </c>
      <c r="AF94" s="294">
        <v>51855.58999999956</v>
      </c>
      <c r="AG94" s="294">
        <v>1555.190000000006</v>
      </c>
      <c r="AH94" s="294">
        <v>2894.9999999999964</v>
      </c>
      <c r="AI94" s="294">
        <v>0</v>
      </c>
      <c r="AJ94" s="294">
        <v>12578.23</v>
      </c>
      <c r="AK94" s="294">
        <v>2541.3099999999977</v>
      </c>
      <c r="AL94" s="294">
        <v>0</v>
      </c>
      <c r="AM94" s="294">
        <v>0</v>
      </c>
      <c r="AN94" s="294">
        <v>7254.77</v>
      </c>
      <c r="AO94" s="294">
        <v>62528.929999999993</v>
      </c>
      <c r="AP94" s="294">
        <v>41869.75</v>
      </c>
      <c r="AQ94" s="294">
        <v>158724.42000000001</v>
      </c>
      <c r="AR94" s="294">
        <v>129892.32</v>
      </c>
      <c r="AS94" s="294">
        <v>7584.8899999999994</v>
      </c>
      <c r="AT94" s="294">
        <v>700</v>
      </c>
      <c r="AU94" s="294">
        <v>93909.00999999998</v>
      </c>
      <c r="AV94" s="294">
        <v>5139.75</v>
      </c>
      <c r="AW94" s="294">
        <v>4465</v>
      </c>
      <c r="AX94" s="294">
        <v>27.709999999999127</v>
      </c>
      <c r="AY94" s="294">
        <v>12200.97</v>
      </c>
      <c r="AZ94" s="294">
        <v>14803.43</v>
      </c>
      <c r="BA94" s="294">
        <v>39759.21</v>
      </c>
      <c r="BB94" s="294">
        <v>2502.4</v>
      </c>
      <c r="BC94" s="294">
        <v>0</v>
      </c>
      <c r="BD94" s="294">
        <v>0</v>
      </c>
      <c r="BE94" s="294">
        <v>2427688.0599999996</v>
      </c>
      <c r="BF94" s="294">
        <v>297273.12000000023</v>
      </c>
      <c r="BG94" s="294">
        <v>-5955.5</v>
      </c>
      <c r="BH94" s="294">
        <v>291317.62000000023</v>
      </c>
      <c r="BI94" s="294">
        <v>7598.88</v>
      </c>
      <c r="BJ94" s="294">
        <v>0</v>
      </c>
      <c r="BK94" s="294">
        <v>0</v>
      </c>
      <c r="BL94" s="294">
        <v>7598.88</v>
      </c>
      <c r="BM94" s="294">
        <v>0</v>
      </c>
      <c r="BN94" s="294">
        <v>0</v>
      </c>
      <c r="BO94" s="294">
        <v>3039</v>
      </c>
      <c r="BP94" s="294">
        <v>0</v>
      </c>
      <c r="BQ94" s="294">
        <v>3039</v>
      </c>
      <c r="BR94" s="294">
        <v>0</v>
      </c>
      <c r="BS94" s="294">
        <v>4559.88</v>
      </c>
      <c r="BT94" s="294">
        <v>4559.88</v>
      </c>
      <c r="BU94" s="294">
        <v>0</v>
      </c>
      <c r="BV94" s="294">
        <v>0</v>
      </c>
      <c r="BW94" s="294">
        <v>0</v>
      </c>
      <c r="BX94" s="294">
        <v>0</v>
      </c>
      <c r="BY94" s="294">
        <v>0</v>
      </c>
      <c r="BZ94" s="294">
        <v>0</v>
      </c>
      <c r="CA94" s="294">
        <v>0</v>
      </c>
      <c r="CB94" s="294">
        <v>0</v>
      </c>
      <c r="CC94" s="294">
        <v>0</v>
      </c>
      <c r="CD94" s="294">
        <v>291317.62000000023</v>
      </c>
      <c r="CE94" s="294">
        <v>0</v>
      </c>
      <c r="CF94" s="294">
        <v>4559.88</v>
      </c>
      <c r="CG94" s="294">
        <v>0</v>
      </c>
      <c r="CH94" s="294">
        <v>0</v>
      </c>
      <c r="CI94" s="294">
        <f t="shared" si="1"/>
        <v>295877.50000000023</v>
      </c>
      <c r="CJ94" s="294">
        <v>191545.55</v>
      </c>
      <c r="CK94" s="294">
        <v>21286.600000000002</v>
      </c>
      <c r="CL94" s="294">
        <v>0</v>
      </c>
      <c r="CM94" s="294">
        <v>170258.94999999998</v>
      </c>
      <c r="CN94" s="294">
        <v>0</v>
      </c>
      <c r="CO94" s="294">
        <v>0</v>
      </c>
      <c r="CP94" s="294">
        <v>1250.55</v>
      </c>
      <c r="CQ94" s="294">
        <v>0</v>
      </c>
      <c r="CR94" s="294">
        <v>116406.19</v>
      </c>
      <c r="CS94" s="294">
        <v>287915.68999999994</v>
      </c>
      <c r="CT94" s="294">
        <v>0</v>
      </c>
      <c r="CU94" s="294">
        <v>0</v>
      </c>
      <c r="CV94" s="294">
        <v>0</v>
      </c>
      <c r="CW94" s="294">
        <v>0</v>
      </c>
      <c r="CX94" s="294"/>
      <c r="CY94" s="294"/>
      <c r="CZ94" s="294"/>
      <c r="DA94" s="294">
        <v>0</v>
      </c>
      <c r="DB94" s="294">
        <v>0</v>
      </c>
      <c r="DC94" s="294">
        <v>0</v>
      </c>
      <c r="DD94" s="294">
        <v>10839.5</v>
      </c>
      <c r="DE94" s="294">
        <v>0</v>
      </c>
      <c r="DF94" s="294">
        <v>0</v>
      </c>
      <c r="DG94" s="294">
        <v>0</v>
      </c>
      <c r="DH94" s="294">
        <v>-2502.4</v>
      </c>
      <c r="DI94" s="294">
        <v>0</v>
      </c>
      <c r="DJ94" s="294">
        <v>0</v>
      </c>
      <c r="DK94" s="294">
        <v>8337.1</v>
      </c>
      <c r="DL94" s="294">
        <v>0</v>
      </c>
      <c r="DM94" s="294">
        <v>0</v>
      </c>
      <c r="DN94" s="294">
        <v>-375</v>
      </c>
      <c r="DO94" s="294">
        <v>0</v>
      </c>
      <c r="DP94" s="294">
        <v>0</v>
      </c>
      <c r="DQ94" s="324">
        <v>-0.28999999992083758</v>
      </c>
      <c r="DR94" s="295">
        <v>1828310.9599999995</v>
      </c>
      <c r="DS94" s="325">
        <v>599377.10000000009</v>
      </c>
      <c r="DT94" s="295">
        <v>12200.97</v>
      </c>
      <c r="DU94" s="295">
        <v>29713.980000000014</v>
      </c>
      <c r="DV94" s="295">
        <v>54692.959999999999</v>
      </c>
      <c r="DW94" s="295">
        <v>-375</v>
      </c>
    </row>
    <row r="95" spans="1:127">
      <c r="A95" s="321">
        <v>2441</v>
      </c>
      <c r="B95" s="322" t="s">
        <v>431</v>
      </c>
      <c r="C95" s="321">
        <v>2441</v>
      </c>
      <c r="D95" s="323" t="s">
        <v>817</v>
      </c>
      <c r="E95" s="323" t="s">
        <v>539</v>
      </c>
      <c r="F95" s="323" t="s">
        <v>818</v>
      </c>
      <c r="G95" s="323" t="s">
        <v>537</v>
      </c>
      <c r="H95" s="294">
        <v>2203191.9500000002</v>
      </c>
      <c r="I95" s="294">
        <v>0</v>
      </c>
      <c r="J95" s="294">
        <v>92722.52</v>
      </c>
      <c r="K95" s="294">
        <v>0</v>
      </c>
      <c r="L95" s="294">
        <v>297430</v>
      </c>
      <c r="M95" s="294">
        <v>139905.79</v>
      </c>
      <c r="N95" s="294">
        <v>0</v>
      </c>
      <c r="O95" s="294">
        <v>0</v>
      </c>
      <c r="P95" s="294">
        <v>15969.880000000001</v>
      </c>
      <c r="Q95" s="294">
        <v>0</v>
      </c>
      <c r="R95" s="294">
        <v>0</v>
      </c>
      <c r="S95" s="294">
        <v>0</v>
      </c>
      <c r="T95" s="294">
        <v>17493</v>
      </c>
      <c r="U95" s="294">
        <v>0</v>
      </c>
      <c r="V95" s="294">
        <v>0</v>
      </c>
      <c r="W95" s="294">
        <v>4770.83</v>
      </c>
      <c r="X95" s="294">
        <v>47061</v>
      </c>
      <c r="Y95" s="294">
        <v>2818544.97</v>
      </c>
      <c r="Z95" s="294">
        <v>1204800.9999999974</v>
      </c>
      <c r="AA95" s="294">
        <v>2403.83</v>
      </c>
      <c r="AB95" s="294">
        <v>495427</v>
      </c>
      <c r="AC95" s="294">
        <v>43570.000000000058</v>
      </c>
      <c r="AD95" s="294">
        <v>168965</v>
      </c>
      <c r="AE95" s="294">
        <v>0</v>
      </c>
      <c r="AF95" s="294">
        <v>145034.00000000012</v>
      </c>
      <c r="AG95" s="294">
        <v>9499.9999999999018</v>
      </c>
      <c r="AH95" s="294">
        <v>7711.7</v>
      </c>
      <c r="AI95" s="294">
        <v>0</v>
      </c>
      <c r="AJ95" s="294">
        <v>0</v>
      </c>
      <c r="AK95" s="294">
        <v>33795</v>
      </c>
      <c r="AL95" s="294">
        <v>9191</v>
      </c>
      <c r="AM95" s="294">
        <v>1561</v>
      </c>
      <c r="AN95" s="294">
        <v>4315.8</v>
      </c>
      <c r="AO95" s="294">
        <v>35027</v>
      </c>
      <c r="AP95" s="294">
        <v>14333.98</v>
      </c>
      <c r="AQ95" s="294">
        <v>334253</v>
      </c>
      <c r="AR95" s="294">
        <v>88163.099999999948</v>
      </c>
      <c r="AS95" s="294">
        <v>8435</v>
      </c>
      <c r="AT95" s="294">
        <v>0</v>
      </c>
      <c r="AU95" s="294">
        <v>4580.9999999997672</v>
      </c>
      <c r="AV95" s="294">
        <v>9471</v>
      </c>
      <c r="AW95" s="294">
        <v>0</v>
      </c>
      <c r="AX95" s="294">
        <v>99043.000000000044</v>
      </c>
      <c r="AY95" s="294">
        <v>105124</v>
      </c>
      <c r="AZ95" s="294">
        <v>10287.01</v>
      </c>
      <c r="BA95" s="294">
        <v>41644</v>
      </c>
      <c r="BB95" s="294">
        <v>0</v>
      </c>
      <c r="BC95" s="294">
        <v>0</v>
      </c>
      <c r="BD95" s="294">
        <v>0</v>
      </c>
      <c r="BE95" s="294">
        <v>2876637.4199999971</v>
      </c>
      <c r="BF95" s="294">
        <v>377218.73</v>
      </c>
      <c r="BG95" s="294">
        <v>-58092.449999996927</v>
      </c>
      <c r="BH95" s="294">
        <v>319126.28000000305</v>
      </c>
      <c r="BI95" s="294">
        <v>8030.88</v>
      </c>
      <c r="BJ95" s="294">
        <v>0</v>
      </c>
      <c r="BK95" s="294">
        <v>0</v>
      </c>
      <c r="BL95" s="294">
        <v>8030.88</v>
      </c>
      <c r="BM95" s="294">
        <v>0</v>
      </c>
      <c r="BN95" s="294">
        <v>0</v>
      </c>
      <c r="BO95" s="294">
        <v>0</v>
      </c>
      <c r="BP95" s="294">
        <v>0</v>
      </c>
      <c r="BQ95" s="294">
        <v>0</v>
      </c>
      <c r="BR95" s="294">
        <v>30413.25</v>
      </c>
      <c r="BS95" s="294">
        <v>8030.88</v>
      </c>
      <c r="BT95" s="294">
        <v>38444.129999999997</v>
      </c>
      <c r="BU95" s="294">
        <v>0</v>
      </c>
      <c r="BV95" s="294">
        <v>0</v>
      </c>
      <c r="BW95" s="294">
        <v>0</v>
      </c>
      <c r="BX95" s="294">
        <v>0</v>
      </c>
      <c r="BY95" s="294">
        <v>0</v>
      </c>
      <c r="BZ95" s="294">
        <v>0</v>
      </c>
      <c r="CA95" s="294">
        <v>0</v>
      </c>
      <c r="CB95" s="294">
        <v>0</v>
      </c>
      <c r="CC95" s="294">
        <v>0</v>
      </c>
      <c r="CD95" s="294">
        <v>319126.28000000305</v>
      </c>
      <c r="CE95" s="294">
        <v>0</v>
      </c>
      <c r="CF95" s="294">
        <v>38444.129999999997</v>
      </c>
      <c r="CG95" s="294">
        <v>0</v>
      </c>
      <c r="CH95" s="294">
        <v>0</v>
      </c>
      <c r="CI95" s="294">
        <f t="shared" si="1"/>
        <v>357570.41000000306</v>
      </c>
      <c r="CJ95" s="294">
        <v>531945</v>
      </c>
      <c r="CK95" s="294">
        <v>18244</v>
      </c>
      <c r="CL95" s="294">
        <v>285</v>
      </c>
      <c r="CM95" s="294">
        <v>513986</v>
      </c>
      <c r="CN95" s="294">
        <v>0</v>
      </c>
      <c r="CO95" s="294">
        <v>0</v>
      </c>
      <c r="CP95" s="294">
        <v>11631</v>
      </c>
      <c r="CQ95" s="294">
        <v>45.59</v>
      </c>
      <c r="CR95" s="294">
        <v>-181488.14885416671</v>
      </c>
      <c r="CS95" s="294">
        <v>344174.44114583323</v>
      </c>
      <c r="CT95" s="294">
        <v>0</v>
      </c>
      <c r="CU95" s="294">
        <v>0</v>
      </c>
      <c r="CV95" s="294">
        <v>0</v>
      </c>
      <c r="CW95" s="294">
        <v>0</v>
      </c>
      <c r="CX95" s="294"/>
      <c r="CY95" s="294"/>
      <c r="CZ95" s="294"/>
      <c r="DA95" s="294">
        <v>0</v>
      </c>
      <c r="DB95" s="294">
        <v>0</v>
      </c>
      <c r="DC95" s="294">
        <v>0</v>
      </c>
      <c r="DD95" s="294">
        <v>13395.95</v>
      </c>
      <c r="DE95" s="294">
        <v>0</v>
      </c>
      <c r="DF95" s="294">
        <v>0</v>
      </c>
      <c r="DG95" s="294">
        <v>0</v>
      </c>
      <c r="DH95" s="294">
        <v>0</v>
      </c>
      <c r="DI95" s="294">
        <v>0</v>
      </c>
      <c r="DJ95" s="294">
        <v>0</v>
      </c>
      <c r="DK95" s="294">
        <v>13395.95</v>
      </c>
      <c r="DL95" s="294">
        <v>0</v>
      </c>
      <c r="DM95" s="294">
        <v>0</v>
      </c>
      <c r="DN95" s="294">
        <v>0</v>
      </c>
      <c r="DO95" s="294">
        <v>0</v>
      </c>
      <c r="DP95" s="294">
        <v>0</v>
      </c>
      <c r="DQ95" s="324">
        <v>1.8854166788514704E-2</v>
      </c>
      <c r="DR95" s="295">
        <v>2069700.8299999977</v>
      </c>
      <c r="DS95" s="325">
        <v>806936.58999999939</v>
      </c>
      <c r="DT95" s="295">
        <v>105124</v>
      </c>
      <c r="DU95" s="295">
        <v>33462.880000000005</v>
      </c>
      <c r="DV95" s="295">
        <v>0</v>
      </c>
      <c r="DW95" s="295">
        <v>0</v>
      </c>
    </row>
    <row r="96" spans="1:127">
      <c r="A96" s="321">
        <v>2321</v>
      </c>
      <c r="B96" s="322" t="s">
        <v>432</v>
      </c>
      <c r="C96" s="321">
        <v>2321</v>
      </c>
      <c r="D96" s="323" t="s">
        <v>817</v>
      </c>
      <c r="E96" s="323" t="s">
        <v>539</v>
      </c>
      <c r="F96" s="323" t="s">
        <v>818</v>
      </c>
      <c r="G96" s="323" t="s">
        <v>537</v>
      </c>
      <c r="H96" s="294">
        <v>1232754.3999999999</v>
      </c>
      <c r="I96" s="294">
        <v>0</v>
      </c>
      <c r="J96" s="294">
        <v>119471.9</v>
      </c>
      <c r="K96" s="294">
        <v>0</v>
      </c>
      <c r="L96" s="294">
        <v>187230</v>
      </c>
      <c r="M96" s="294">
        <v>285.64</v>
      </c>
      <c r="N96" s="294">
        <v>0</v>
      </c>
      <c r="O96" s="294">
        <v>0</v>
      </c>
      <c r="P96" s="294">
        <v>43024.54</v>
      </c>
      <c r="Q96" s="294">
        <v>10813.5</v>
      </c>
      <c r="R96" s="294">
        <v>0</v>
      </c>
      <c r="S96" s="294">
        <v>0</v>
      </c>
      <c r="T96" s="294">
        <v>0</v>
      </c>
      <c r="U96" s="294">
        <v>0</v>
      </c>
      <c r="V96" s="294">
        <v>0</v>
      </c>
      <c r="W96" s="294">
        <v>8501.7999999999993</v>
      </c>
      <c r="X96" s="294">
        <v>22071</v>
      </c>
      <c r="Y96" s="294">
        <v>1624152.7799999998</v>
      </c>
      <c r="Z96" s="294">
        <v>579077</v>
      </c>
      <c r="AA96" s="294">
        <v>0</v>
      </c>
      <c r="AB96" s="294">
        <v>339647.7</v>
      </c>
      <c r="AC96" s="294">
        <v>44887.59</v>
      </c>
      <c r="AD96" s="294">
        <v>71486.41</v>
      </c>
      <c r="AE96" s="294">
        <v>0</v>
      </c>
      <c r="AF96" s="294">
        <v>42681.86</v>
      </c>
      <c r="AG96" s="294">
        <v>1060.6099999999999</v>
      </c>
      <c r="AH96" s="294">
        <v>2667.5</v>
      </c>
      <c r="AI96" s="294">
        <v>0</v>
      </c>
      <c r="AJ96" s="294">
        <v>0</v>
      </c>
      <c r="AK96" s="294">
        <v>8125.63</v>
      </c>
      <c r="AL96" s="294">
        <v>3489.83</v>
      </c>
      <c r="AM96" s="294">
        <v>2193.9699999999998</v>
      </c>
      <c r="AN96" s="294">
        <v>4345.5</v>
      </c>
      <c r="AO96" s="294">
        <v>41980.1</v>
      </c>
      <c r="AP96" s="294">
        <v>15754.5</v>
      </c>
      <c r="AQ96" s="294">
        <v>16123.05</v>
      </c>
      <c r="AR96" s="294">
        <v>56666.1</v>
      </c>
      <c r="AS96" s="294">
        <v>26795.35</v>
      </c>
      <c r="AT96" s="294">
        <v>0</v>
      </c>
      <c r="AU96" s="294">
        <v>15552.49</v>
      </c>
      <c r="AV96" s="294">
        <v>5139.75</v>
      </c>
      <c r="AW96" s="294">
        <v>1284.26</v>
      </c>
      <c r="AX96" s="294">
        <v>64812.37</v>
      </c>
      <c r="AY96" s="294">
        <v>91616.4</v>
      </c>
      <c r="AZ96" s="294">
        <v>848.08</v>
      </c>
      <c r="BA96" s="294">
        <v>130407.8</v>
      </c>
      <c r="BB96" s="294">
        <v>0</v>
      </c>
      <c r="BC96" s="294">
        <v>0</v>
      </c>
      <c r="BD96" s="294">
        <v>0</v>
      </c>
      <c r="BE96" s="294">
        <v>1566643.8500000006</v>
      </c>
      <c r="BF96" s="294">
        <v>328357.75</v>
      </c>
      <c r="BG96" s="294">
        <v>57508.929999999236</v>
      </c>
      <c r="BH96" s="294">
        <v>385866.67999999924</v>
      </c>
      <c r="BI96" s="294">
        <v>6081.25</v>
      </c>
      <c r="BJ96" s="294">
        <v>0</v>
      </c>
      <c r="BK96" s="294">
        <v>0</v>
      </c>
      <c r="BL96" s="294">
        <v>6081.25</v>
      </c>
      <c r="BM96" s="294">
        <v>0</v>
      </c>
      <c r="BN96" s="294">
        <v>10551.9</v>
      </c>
      <c r="BO96" s="294">
        <v>0</v>
      </c>
      <c r="BP96" s="294">
        <v>0</v>
      </c>
      <c r="BQ96" s="294">
        <v>10551.9</v>
      </c>
      <c r="BR96" s="294">
        <v>10537.1</v>
      </c>
      <c r="BS96" s="294">
        <v>-4470.6499999999996</v>
      </c>
      <c r="BT96" s="294">
        <v>6066.4</v>
      </c>
      <c r="BU96" s="294">
        <v>0</v>
      </c>
      <c r="BV96" s="294">
        <v>0</v>
      </c>
      <c r="BW96" s="294">
        <v>0</v>
      </c>
      <c r="BX96" s="294">
        <v>0</v>
      </c>
      <c r="BY96" s="294">
        <v>0</v>
      </c>
      <c r="BZ96" s="294">
        <v>0</v>
      </c>
      <c r="CA96" s="294">
        <v>0</v>
      </c>
      <c r="CB96" s="294">
        <v>0</v>
      </c>
      <c r="CC96" s="294">
        <v>0</v>
      </c>
      <c r="CD96" s="294">
        <v>385866.67999999924</v>
      </c>
      <c r="CE96" s="294">
        <v>0</v>
      </c>
      <c r="CF96" s="294">
        <v>6066.4</v>
      </c>
      <c r="CG96" s="294">
        <v>0</v>
      </c>
      <c r="CH96" s="294">
        <v>0</v>
      </c>
      <c r="CI96" s="294">
        <f t="shared" si="1"/>
        <v>391933.07999999926</v>
      </c>
      <c r="CJ96" s="294">
        <v>115070</v>
      </c>
      <c r="CK96" s="294">
        <v>0</v>
      </c>
      <c r="CL96" s="294">
        <v>0</v>
      </c>
      <c r="CM96" s="294">
        <v>115070.1</v>
      </c>
      <c r="CN96" s="294">
        <v>0</v>
      </c>
      <c r="CO96" s="294">
        <v>0</v>
      </c>
      <c r="CP96" s="294">
        <v>3320.33</v>
      </c>
      <c r="CQ96" s="294">
        <v>0</v>
      </c>
      <c r="CR96" s="294">
        <v>295744.90000000002</v>
      </c>
      <c r="CS96" s="294">
        <v>414135.3</v>
      </c>
      <c r="CT96" s="294">
        <v>0</v>
      </c>
      <c r="CU96" s="294">
        <v>0</v>
      </c>
      <c r="CV96" s="294">
        <v>0</v>
      </c>
      <c r="CW96" s="294">
        <v>0</v>
      </c>
      <c r="CX96" s="294"/>
      <c r="CY96" s="294"/>
      <c r="CZ96" s="294"/>
      <c r="DA96" s="294">
        <v>0</v>
      </c>
      <c r="DB96" s="294">
        <v>0</v>
      </c>
      <c r="DC96" s="294">
        <v>0</v>
      </c>
      <c r="DD96" s="294">
        <v>10017.68</v>
      </c>
      <c r="DE96" s="294">
        <v>0</v>
      </c>
      <c r="DF96" s="294">
        <v>0</v>
      </c>
      <c r="DG96" s="294">
        <v>-10944.1</v>
      </c>
      <c r="DH96" s="294">
        <v>-21275.58</v>
      </c>
      <c r="DI96" s="294">
        <v>0</v>
      </c>
      <c r="DJ96" s="294">
        <v>0</v>
      </c>
      <c r="DK96" s="294">
        <v>-22202</v>
      </c>
      <c r="DL96" s="294">
        <v>0</v>
      </c>
      <c r="DM96" s="294">
        <v>0</v>
      </c>
      <c r="DN96" s="294">
        <v>0</v>
      </c>
      <c r="DO96" s="294">
        <v>0</v>
      </c>
      <c r="DP96" s="294">
        <v>0</v>
      </c>
      <c r="DQ96" s="324">
        <v>0</v>
      </c>
      <c r="DR96" s="295">
        <v>1078841.1700000002</v>
      </c>
      <c r="DS96" s="325">
        <v>487802.6800000004</v>
      </c>
      <c r="DT96" s="295">
        <v>91616.4</v>
      </c>
      <c r="DU96" s="295">
        <v>53838.04</v>
      </c>
      <c r="DV96" s="295">
        <v>0</v>
      </c>
      <c r="DW96" s="295">
        <v>0</v>
      </c>
    </row>
    <row r="97" spans="1:127">
      <c r="A97" s="321">
        <v>2189</v>
      </c>
      <c r="B97" s="322" t="s">
        <v>498</v>
      </c>
      <c r="C97" s="321">
        <v>2189</v>
      </c>
      <c r="D97" s="323" t="s">
        <v>817</v>
      </c>
      <c r="E97" s="323" t="s">
        <v>539</v>
      </c>
      <c r="F97" s="323" t="s">
        <v>818</v>
      </c>
      <c r="G97" s="323" t="s">
        <v>799</v>
      </c>
      <c r="H97" s="294">
        <v>1597303.71</v>
      </c>
      <c r="I97" s="294">
        <v>0</v>
      </c>
      <c r="J97" s="294">
        <v>55195.71</v>
      </c>
      <c r="K97" s="294">
        <v>0</v>
      </c>
      <c r="L97" s="294">
        <v>180560</v>
      </c>
      <c r="M97" s="294">
        <v>4828.22</v>
      </c>
      <c r="N97" s="294">
        <v>0</v>
      </c>
      <c r="O97" s="294">
        <v>0</v>
      </c>
      <c r="P97" s="294">
        <v>61876.639999999992</v>
      </c>
      <c r="Q97" s="294">
        <v>33206.19</v>
      </c>
      <c r="R97" s="294">
        <v>0</v>
      </c>
      <c r="S97" s="294">
        <v>0</v>
      </c>
      <c r="T97" s="294">
        <v>6312.32</v>
      </c>
      <c r="U97" s="294">
        <v>0</v>
      </c>
      <c r="V97" s="294">
        <v>0</v>
      </c>
      <c r="W97" s="294">
        <v>11510.83</v>
      </c>
      <c r="X97" s="294">
        <v>33422</v>
      </c>
      <c r="Y97" s="294">
        <v>1984215.6199999999</v>
      </c>
      <c r="Z97" s="294">
        <v>664057.80000000028</v>
      </c>
      <c r="AA97" s="294">
        <v>397.4</v>
      </c>
      <c r="AB97" s="294">
        <v>2053.58</v>
      </c>
      <c r="AC97" s="294">
        <v>337903.06000000064</v>
      </c>
      <c r="AD97" s="294">
        <v>4454.9399999999996</v>
      </c>
      <c r="AE97" s="294">
        <v>0</v>
      </c>
      <c r="AF97" s="294">
        <v>221847.6099999999</v>
      </c>
      <c r="AG97" s="294">
        <v>13360.669999999978</v>
      </c>
      <c r="AH97" s="294">
        <v>0</v>
      </c>
      <c r="AI97" s="294">
        <v>0</v>
      </c>
      <c r="AJ97" s="294">
        <v>0</v>
      </c>
      <c r="AK97" s="294">
        <v>14123.610000000004</v>
      </c>
      <c r="AL97" s="294">
        <v>0</v>
      </c>
      <c r="AM97" s="294">
        <v>4761.0499999999993</v>
      </c>
      <c r="AN97" s="294">
        <v>316.75</v>
      </c>
      <c r="AO97" s="294">
        <v>33995.350000000013</v>
      </c>
      <c r="AP97" s="294">
        <v>31534.81</v>
      </c>
      <c r="AQ97" s="294">
        <v>6408.869999999999</v>
      </c>
      <c r="AR97" s="294">
        <v>334685.76999999996</v>
      </c>
      <c r="AS97" s="294">
        <v>108687.26000000001</v>
      </c>
      <c r="AT97" s="294">
        <v>-533.5</v>
      </c>
      <c r="AU97" s="294">
        <v>-1372.01</v>
      </c>
      <c r="AV97" s="294">
        <v>5139.75</v>
      </c>
      <c r="AW97" s="294">
        <v>0</v>
      </c>
      <c r="AX97" s="294">
        <v>165900.71</v>
      </c>
      <c r="AY97" s="294">
        <v>55396.56</v>
      </c>
      <c r="AZ97" s="294">
        <v>5816.24</v>
      </c>
      <c r="BA97" s="294">
        <v>219558.75</v>
      </c>
      <c r="BB97" s="294">
        <v>0</v>
      </c>
      <c r="BC97" s="294">
        <v>0</v>
      </c>
      <c r="BD97" s="294">
        <v>0</v>
      </c>
      <c r="BE97" s="294">
        <v>2228495.0300000012</v>
      </c>
      <c r="BF97" s="294">
        <v>-237278.13000000024</v>
      </c>
      <c r="BG97" s="294">
        <v>-244279.41000000131</v>
      </c>
      <c r="BH97" s="294">
        <v>-481557.54000000155</v>
      </c>
      <c r="BI97" s="294">
        <v>6958.75</v>
      </c>
      <c r="BJ97" s="294">
        <v>0</v>
      </c>
      <c r="BK97" s="294">
        <v>0</v>
      </c>
      <c r="BL97" s="294">
        <v>6958.75</v>
      </c>
      <c r="BM97" s="294">
        <v>0</v>
      </c>
      <c r="BN97" s="294">
        <v>3155.7400000000002</v>
      </c>
      <c r="BO97" s="294">
        <v>0</v>
      </c>
      <c r="BP97" s="294">
        <v>0</v>
      </c>
      <c r="BQ97" s="294">
        <v>3155.7400000000002</v>
      </c>
      <c r="BR97" s="294">
        <v>5.8264504332328215E-13</v>
      </c>
      <c r="BS97" s="294">
        <v>3803.0099999999998</v>
      </c>
      <c r="BT97" s="294">
        <v>3803.01</v>
      </c>
      <c r="BU97" s="294">
        <v>0</v>
      </c>
      <c r="BV97" s="294">
        <v>0</v>
      </c>
      <c r="BW97" s="294">
        <v>0</v>
      </c>
      <c r="BX97" s="294">
        <v>0</v>
      </c>
      <c r="BY97" s="294">
        <v>0</v>
      </c>
      <c r="BZ97" s="294">
        <v>0</v>
      </c>
      <c r="CA97" s="294">
        <v>0</v>
      </c>
      <c r="CB97" s="294">
        <v>0</v>
      </c>
      <c r="CC97" s="294">
        <v>0</v>
      </c>
      <c r="CD97" s="294">
        <v>-481557.54000000155</v>
      </c>
      <c r="CE97" s="294">
        <v>0</v>
      </c>
      <c r="CF97" s="294">
        <v>3803.01</v>
      </c>
      <c r="CG97" s="294">
        <v>0</v>
      </c>
      <c r="CH97" s="294">
        <v>0</v>
      </c>
      <c r="CI97" s="294">
        <f t="shared" si="1"/>
        <v>-477754.53000000154</v>
      </c>
      <c r="CJ97" s="294">
        <v>0</v>
      </c>
      <c r="CK97" s="294">
        <v>0</v>
      </c>
      <c r="CL97" s="294">
        <v>0</v>
      </c>
      <c r="CM97" s="294">
        <v>0</v>
      </c>
      <c r="CN97" s="294">
        <v>0</v>
      </c>
      <c r="CO97" s="294">
        <v>0</v>
      </c>
      <c r="CP97" s="294">
        <v>0</v>
      </c>
      <c r="CQ97" s="294">
        <v>0</v>
      </c>
      <c r="CR97" s="294">
        <v>0</v>
      </c>
      <c r="CS97" s="294">
        <v>0</v>
      </c>
      <c r="CT97" s="294">
        <v>0</v>
      </c>
      <c r="CU97" s="294">
        <v>0</v>
      </c>
      <c r="CV97" s="294">
        <v>0</v>
      </c>
      <c r="CW97" s="294">
        <v>0</v>
      </c>
      <c r="CX97" s="294"/>
      <c r="CY97" s="294"/>
      <c r="CZ97" s="294"/>
      <c r="DA97" s="294">
        <v>-364530.88000000163</v>
      </c>
      <c r="DB97" s="294">
        <v>-364530.88000000163</v>
      </c>
      <c r="DC97" s="294">
        <v>0</v>
      </c>
      <c r="DD97" s="294">
        <v>1222.52</v>
      </c>
      <c r="DE97" s="294">
        <v>0</v>
      </c>
      <c r="DF97" s="294">
        <v>0</v>
      </c>
      <c r="DG97" s="294">
        <v>0</v>
      </c>
      <c r="DH97" s="294">
        <v>-36850.22</v>
      </c>
      <c r="DI97" s="294">
        <v>0</v>
      </c>
      <c r="DJ97" s="294">
        <v>0</v>
      </c>
      <c r="DK97" s="294">
        <v>-35627.700000000004</v>
      </c>
      <c r="DL97" s="294">
        <v>0</v>
      </c>
      <c r="DM97" s="294">
        <v>0</v>
      </c>
      <c r="DN97" s="294">
        <v>0</v>
      </c>
      <c r="DO97" s="294">
        <v>0</v>
      </c>
      <c r="DP97" s="294">
        <v>0</v>
      </c>
      <c r="DQ97" s="324">
        <v>1.6298145055770874E-9</v>
      </c>
      <c r="DR97" s="295">
        <v>1244075.0600000008</v>
      </c>
      <c r="DS97" s="325">
        <v>984419.97000000044</v>
      </c>
      <c r="DT97" s="295">
        <v>55396.56</v>
      </c>
      <c r="DU97" s="295">
        <v>101395.15</v>
      </c>
      <c r="DV97" s="295">
        <v>0</v>
      </c>
      <c r="DW97" s="295">
        <v>0</v>
      </c>
    </row>
    <row r="98" spans="1:127">
      <c r="A98" s="321">
        <v>7060</v>
      </c>
      <c r="B98" s="322" t="s">
        <v>499</v>
      </c>
      <c r="C98" s="321">
        <v>7060</v>
      </c>
      <c r="D98" s="323" t="s">
        <v>817</v>
      </c>
      <c r="E98" s="323" t="s">
        <v>541</v>
      </c>
      <c r="F98" s="323" t="s">
        <v>818</v>
      </c>
      <c r="G98" s="323" t="s">
        <v>799</v>
      </c>
      <c r="H98" s="294">
        <v>1343231.94</v>
      </c>
      <c r="I98" s="294">
        <v>0</v>
      </c>
      <c r="J98" s="294">
        <v>1689745.1</v>
      </c>
      <c r="K98" s="294">
        <v>0</v>
      </c>
      <c r="L98" s="294">
        <v>72520</v>
      </c>
      <c r="M98" s="294">
        <v>0</v>
      </c>
      <c r="N98" s="294">
        <v>6467</v>
      </c>
      <c r="O98" s="294">
        <v>0</v>
      </c>
      <c r="P98" s="294">
        <v>-5154.45999999999</v>
      </c>
      <c r="Q98" s="294">
        <v>0</v>
      </c>
      <c r="R98" s="294">
        <v>0</v>
      </c>
      <c r="S98" s="294">
        <v>0</v>
      </c>
      <c r="T98" s="294">
        <v>2181.4</v>
      </c>
      <c r="U98" s="294">
        <v>165442.6</v>
      </c>
      <c r="V98" s="294">
        <v>0</v>
      </c>
      <c r="W98" s="294">
        <v>15171.46</v>
      </c>
      <c r="X98" s="294">
        <v>21214</v>
      </c>
      <c r="Y98" s="294">
        <v>3310819.04</v>
      </c>
      <c r="Z98" s="294">
        <v>1193149.9999999907</v>
      </c>
      <c r="AA98" s="294">
        <v>0</v>
      </c>
      <c r="AB98" s="294">
        <v>1239273.2</v>
      </c>
      <c r="AC98" s="294">
        <v>46518.029999998864</v>
      </c>
      <c r="AD98" s="294">
        <v>155922.29999999999</v>
      </c>
      <c r="AE98" s="294">
        <v>0</v>
      </c>
      <c r="AF98" s="294">
        <v>62378.829999999492</v>
      </c>
      <c r="AG98" s="294">
        <v>400.99999999955799</v>
      </c>
      <c r="AH98" s="294">
        <v>0</v>
      </c>
      <c r="AI98" s="294">
        <v>0</v>
      </c>
      <c r="AJ98" s="294">
        <v>0</v>
      </c>
      <c r="AK98" s="294">
        <v>9939.31</v>
      </c>
      <c r="AL98" s="294">
        <v>0</v>
      </c>
      <c r="AM98" s="294">
        <v>32694.84</v>
      </c>
      <c r="AN98" s="294">
        <v>10501.8</v>
      </c>
      <c r="AO98" s="294">
        <v>35211.75</v>
      </c>
      <c r="AP98" s="294">
        <v>0</v>
      </c>
      <c r="AQ98" s="294">
        <v>36140.950000000004</v>
      </c>
      <c r="AR98" s="294">
        <v>48939.11</v>
      </c>
      <c r="AS98" s="294">
        <v>0</v>
      </c>
      <c r="AT98" s="294">
        <v>0</v>
      </c>
      <c r="AU98" s="294">
        <v>79071.520000000077</v>
      </c>
      <c r="AV98" s="294">
        <v>3291.75</v>
      </c>
      <c r="AW98" s="294">
        <v>0</v>
      </c>
      <c r="AX98" s="294">
        <v>0</v>
      </c>
      <c r="AY98" s="294">
        <v>91866.540000000008</v>
      </c>
      <c r="AZ98" s="294">
        <v>779.7</v>
      </c>
      <c r="BA98" s="294">
        <v>196959.75999999998</v>
      </c>
      <c r="BB98" s="294">
        <v>0</v>
      </c>
      <c r="BC98" s="294">
        <v>0</v>
      </c>
      <c r="BD98" s="294">
        <v>0</v>
      </c>
      <c r="BE98" s="294">
        <v>3243040.3899999885</v>
      </c>
      <c r="BF98" s="294">
        <v>-224781.79999999984</v>
      </c>
      <c r="BG98" s="294">
        <v>67778.650000011548</v>
      </c>
      <c r="BH98" s="294">
        <v>-157003.14999998829</v>
      </c>
      <c r="BI98" s="294">
        <v>40001.379999999997</v>
      </c>
      <c r="BJ98" s="294">
        <v>0</v>
      </c>
      <c r="BK98" s="294">
        <v>0</v>
      </c>
      <c r="BL98" s="294">
        <v>40001.379999999997</v>
      </c>
      <c r="BM98" s="294">
        <v>0</v>
      </c>
      <c r="BN98" s="294">
        <v>0</v>
      </c>
      <c r="BO98" s="294">
        <v>0</v>
      </c>
      <c r="BP98" s="294">
        <v>0</v>
      </c>
      <c r="BQ98" s="294">
        <v>0</v>
      </c>
      <c r="BR98" s="294">
        <v>45431.210000000006</v>
      </c>
      <c r="BS98" s="294">
        <v>40001.379999999997</v>
      </c>
      <c r="BT98" s="294">
        <v>85432.59</v>
      </c>
      <c r="BU98" s="294">
        <v>0</v>
      </c>
      <c r="BV98" s="294">
        <v>0</v>
      </c>
      <c r="BW98" s="294">
        <v>0</v>
      </c>
      <c r="BX98" s="294">
        <v>0</v>
      </c>
      <c r="BY98" s="294">
        <v>0</v>
      </c>
      <c r="BZ98" s="294">
        <v>0</v>
      </c>
      <c r="CA98" s="294">
        <v>0</v>
      </c>
      <c r="CB98" s="294">
        <v>0</v>
      </c>
      <c r="CC98" s="294">
        <v>0</v>
      </c>
      <c r="CD98" s="294">
        <v>-157003.14999998829</v>
      </c>
      <c r="CE98" s="294">
        <v>0</v>
      </c>
      <c r="CF98" s="294">
        <v>85432.59</v>
      </c>
      <c r="CG98" s="294">
        <v>0</v>
      </c>
      <c r="CH98" s="294">
        <v>0</v>
      </c>
      <c r="CI98" s="294">
        <f t="shared" si="1"/>
        <v>-71570.559999988298</v>
      </c>
      <c r="CJ98" s="294">
        <v>0</v>
      </c>
      <c r="CK98" s="294">
        <v>0</v>
      </c>
      <c r="CL98" s="294">
        <v>0</v>
      </c>
      <c r="CM98" s="294">
        <v>0</v>
      </c>
      <c r="CN98" s="294">
        <v>0</v>
      </c>
      <c r="CO98" s="294">
        <v>0</v>
      </c>
      <c r="CP98" s="294">
        <v>0</v>
      </c>
      <c r="CQ98" s="294">
        <v>0</v>
      </c>
      <c r="CR98" s="294">
        <v>0</v>
      </c>
      <c r="CS98" s="294">
        <v>0</v>
      </c>
      <c r="CT98" s="294">
        <v>0</v>
      </c>
      <c r="CU98" s="294">
        <v>0</v>
      </c>
      <c r="CV98" s="294">
        <v>0</v>
      </c>
      <c r="CW98" s="294">
        <v>0</v>
      </c>
      <c r="CX98" s="294"/>
      <c r="CY98" s="294"/>
      <c r="CZ98" s="294"/>
      <c r="DA98" s="294">
        <v>-72134.969999988301</v>
      </c>
      <c r="DB98" s="294">
        <v>-72134.969999988301</v>
      </c>
      <c r="DC98" s="294">
        <v>0</v>
      </c>
      <c r="DD98" s="294">
        <v>648.55999999999995</v>
      </c>
      <c r="DE98" s="294">
        <v>0</v>
      </c>
      <c r="DF98" s="294">
        <v>0</v>
      </c>
      <c r="DG98" s="294">
        <v>0</v>
      </c>
      <c r="DH98" s="294">
        <v>-84.15</v>
      </c>
      <c r="DI98" s="294">
        <v>0</v>
      </c>
      <c r="DJ98" s="294">
        <v>0</v>
      </c>
      <c r="DK98" s="294">
        <v>564.41</v>
      </c>
      <c r="DL98" s="294">
        <v>0</v>
      </c>
      <c r="DM98" s="294">
        <v>0</v>
      </c>
      <c r="DN98" s="294">
        <v>0</v>
      </c>
      <c r="DO98" s="294">
        <v>0</v>
      </c>
      <c r="DP98" s="294">
        <v>0</v>
      </c>
      <c r="DQ98" s="324">
        <v>-1.1699739843606949E-8</v>
      </c>
      <c r="DR98" s="295">
        <v>2697643.3599999887</v>
      </c>
      <c r="DS98" s="325">
        <v>545397.0299999998</v>
      </c>
      <c r="DT98" s="295">
        <v>91866.540000000008</v>
      </c>
      <c r="DU98" s="295">
        <v>-2973.0599999999899</v>
      </c>
      <c r="DV98" s="295">
        <v>165442.6</v>
      </c>
      <c r="DW98" s="295">
        <v>0</v>
      </c>
    </row>
    <row r="99" spans="1:127">
      <c r="A99" s="321">
        <v>1024</v>
      </c>
      <c r="B99" s="322" t="s">
        <v>433</v>
      </c>
      <c r="C99" s="321">
        <v>1024</v>
      </c>
      <c r="D99" s="323" t="s">
        <v>817</v>
      </c>
      <c r="E99" s="323" t="s">
        <v>536</v>
      </c>
      <c r="F99" s="323" t="s">
        <v>818</v>
      </c>
      <c r="G99" s="323" t="s">
        <v>800</v>
      </c>
      <c r="H99" s="294">
        <v>646688</v>
      </c>
      <c r="I99" s="294">
        <v>0</v>
      </c>
      <c r="J99" s="294">
        <v>1196</v>
      </c>
      <c r="K99" s="294">
        <v>0</v>
      </c>
      <c r="L99" s="294">
        <v>0</v>
      </c>
      <c r="M99" s="294">
        <v>8957</v>
      </c>
      <c r="N99" s="294">
        <v>14000</v>
      </c>
      <c r="O99" s="294">
        <v>7000</v>
      </c>
      <c r="P99" s="294">
        <v>0</v>
      </c>
      <c r="Q99" s="294">
        <v>4569</v>
      </c>
      <c r="R99" s="294">
        <v>0</v>
      </c>
      <c r="S99" s="294">
        <v>0</v>
      </c>
      <c r="T99" s="294">
        <v>50818</v>
      </c>
      <c r="U99" s="294">
        <v>0</v>
      </c>
      <c r="V99" s="294">
        <v>0</v>
      </c>
      <c r="W99" s="294">
        <v>0</v>
      </c>
      <c r="X99" s="294">
        <v>0</v>
      </c>
      <c r="Y99" s="294">
        <v>733227</v>
      </c>
      <c r="Z99" s="294">
        <v>181924</v>
      </c>
      <c r="AA99" s="294">
        <v>0</v>
      </c>
      <c r="AB99" s="294">
        <v>166001</v>
      </c>
      <c r="AC99" s="294">
        <v>43084</v>
      </c>
      <c r="AD99" s="294">
        <v>51631</v>
      </c>
      <c r="AE99" s="294">
        <v>7262</v>
      </c>
      <c r="AF99" s="294">
        <v>0</v>
      </c>
      <c r="AG99" s="294">
        <v>1606</v>
      </c>
      <c r="AH99" s="294">
        <v>2754</v>
      </c>
      <c r="AI99" s="294">
        <v>0</v>
      </c>
      <c r="AJ99" s="294">
        <v>0</v>
      </c>
      <c r="AK99" s="294">
        <v>19842</v>
      </c>
      <c r="AL99" s="294">
        <v>208</v>
      </c>
      <c r="AM99" s="294">
        <v>2214</v>
      </c>
      <c r="AN99" s="294">
        <v>2715</v>
      </c>
      <c r="AO99" s="294">
        <v>15335</v>
      </c>
      <c r="AP99" s="294">
        <v>0</v>
      </c>
      <c r="AQ99" s="294">
        <v>10788</v>
      </c>
      <c r="AR99" s="294">
        <v>13336</v>
      </c>
      <c r="AS99" s="294">
        <v>0</v>
      </c>
      <c r="AT99" s="294">
        <v>0</v>
      </c>
      <c r="AU99" s="294">
        <v>3791</v>
      </c>
      <c r="AV99" s="294">
        <v>3292</v>
      </c>
      <c r="AW99" s="294">
        <v>0</v>
      </c>
      <c r="AX99" s="294">
        <v>14961</v>
      </c>
      <c r="AY99" s="294">
        <v>75914</v>
      </c>
      <c r="AZ99" s="294">
        <v>0</v>
      </c>
      <c r="BA99" s="294">
        <v>45684</v>
      </c>
      <c r="BB99" s="294">
        <v>0</v>
      </c>
      <c r="BC99" s="294">
        <v>0</v>
      </c>
      <c r="BD99" s="294">
        <v>0</v>
      </c>
      <c r="BE99" s="294">
        <v>662342</v>
      </c>
      <c r="BF99" s="294">
        <v>-565326.36</v>
      </c>
      <c r="BG99" s="294">
        <v>70886</v>
      </c>
      <c r="BH99" s="294">
        <v>-153895.79999999984</v>
      </c>
      <c r="BI99" s="294">
        <v>7532</v>
      </c>
      <c r="BJ99" s="294">
        <v>0</v>
      </c>
      <c r="BK99" s="294">
        <v>0</v>
      </c>
      <c r="BL99" s="294">
        <v>7532</v>
      </c>
      <c r="BM99" s="294">
        <v>0</v>
      </c>
      <c r="BN99" s="294">
        <v>0</v>
      </c>
      <c r="BO99" s="294">
        <v>0</v>
      </c>
      <c r="BP99" s="294">
        <v>0</v>
      </c>
      <c r="BQ99" s="294">
        <v>0</v>
      </c>
      <c r="BR99" s="294">
        <v>10409</v>
      </c>
      <c r="BS99" s="294">
        <v>7532</v>
      </c>
      <c r="BT99" s="294">
        <v>17941</v>
      </c>
      <c r="BU99" s="294">
        <v>0</v>
      </c>
      <c r="BV99" s="294">
        <v>0</v>
      </c>
      <c r="BW99" s="294">
        <v>0</v>
      </c>
      <c r="BX99" s="294">
        <v>0</v>
      </c>
      <c r="BY99" s="294">
        <v>0</v>
      </c>
      <c r="BZ99" s="294">
        <v>0</v>
      </c>
      <c r="CA99" s="294">
        <v>0</v>
      </c>
      <c r="CB99" s="294">
        <v>0</v>
      </c>
      <c r="CC99" s="294">
        <v>0</v>
      </c>
      <c r="CD99" s="294">
        <v>-153895.79999999984</v>
      </c>
      <c r="CE99" s="294">
        <v>0</v>
      </c>
      <c r="CF99" s="294">
        <v>17941</v>
      </c>
      <c r="CG99" s="294">
        <v>0</v>
      </c>
      <c r="CH99" s="294">
        <v>0</v>
      </c>
      <c r="CI99" s="294">
        <f t="shared" si="1"/>
        <v>-135954.79999999984</v>
      </c>
      <c r="CJ99" s="294">
        <v>0</v>
      </c>
      <c r="CK99" s="294">
        <v>0</v>
      </c>
      <c r="CL99" s="294">
        <v>0</v>
      </c>
      <c r="CM99" s="294">
        <v>0</v>
      </c>
      <c r="CN99" s="294">
        <v>0</v>
      </c>
      <c r="CO99" s="294">
        <v>0</v>
      </c>
      <c r="CP99" s="294">
        <v>0</v>
      </c>
      <c r="CQ99" s="294">
        <v>0</v>
      </c>
      <c r="CR99" s="294">
        <v>0</v>
      </c>
      <c r="CS99" s="294">
        <v>0</v>
      </c>
      <c r="CT99" s="294">
        <v>0</v>
      </c>
      <c r="CU99" s="294">
        <v>0</v>
      </c>
      <c r="CV99" s="294">
        <v>0</v>
      </c>
      <c r="CW99" s="294">
        <v>0</v>
      </c>
      <c r="CX99" s="294"/>
      <c r="CY99" s="294"/>
      <c r="CZ99" s="294"/>
      <c r="DA99" s="294">
        <v>-518141.99999999983</v>
      </c>
      <c r="DB99" s="294">
        <v>-518141.99999999983</v>
      </c>
      <c r="DC99" s="294">
        <v>0</v>
      </c>
      <c r="DD99" s="294">
        <v>47252</v>
      </c>
      <c r="DE99" s="294">
        <v>0</v>
      </c>
      <c r="DF99" s="294">
        <v>0</v>
      </c>
      <c r="DG99" s="294">
        <v>-5609</v>
      </c>
      <c r="DH99" s="294">
        <v>0</v>
      </c>
      <c r="DI99" s="294">
        <v>0</v>
      </c>
      <c r="DJ99" s="294">
        <v>0</v>
      </c>
      <c r="DK99" s="294">
        <v>41643</v>
      </c>
      <c r="DL99" s="294">
        <v>0</v>
      </c>
      <c r="DM99" s="294">
        <v>0</v>
      </c>
      <c r="DN99" s="294">
        <v>0</v>
      </c>
      <c r="DO99" s="294">
        <v>0</v>
      </c>
      <c r="DP99" s="294">
        <v>0</v>
      </c>
      <c r="DQ99" s="324">
        <v>0</v>
      </c>
      <c r="DR99" s="295">
        <v>451508</v>
      </c>
      <c r="DS99" s="325">
        <v>210834</v>
      </c>
      <c r="DT99" s="295">
        <v>75914</v>
      </c>
      <c r="DU99" s="295">
        <v>62387</v>
      </c>
      <c r="DV99" s="295">
        <v>0</v>
      </c>
      <c r="DW99" s="295">
        <v>0</v>
      </c>
    </row>
    <row r="100" spans="1:127">
      <c r="A100" s="321">
        <v>7062</v>
      </c>
      <c r="B100" s="322" t="s">
        <v>434</v>
      </c>
      <c r="C100" s="321">
        <v>7062</v>
      </c>
      <c r="D100" s="323" t="s">
        <v>817</v>
      </c>
      <c r="E100" s="323" t="s">
        <v>541</v>
      </c>
      <c r="F100" s="323" t="s">
        <v>818</v>
      </c>
      <c r="G100" s="323" t="s">
        <v>537</v>
      </c>
      <c r="H100" s="294">
        <v>1653467.24</v>
      </c>
      <c r="I100" s="294">
        <v>0</v>
      </c>
      <c r="J100" s="294">
        <v>2871433.71</v>
      </c>
      <c r="K100" s="294">
        <v>0</v>
      </c>
      <c r="L100" s="294">
        <v>131820</v>
      </c>
      <c r="M100" s="294">
        <v>800</v>
      </c>
      <c r="N100" s="294">
        <v>0</v>
      </c>
      <c r="O100" s="294">
        <v>0</v>
      </c>
      <c r="P100" s="294">
        <v>291210.76</v>
      </c>
      <c r="Q100" s="294">
        <v>167357.68</v>
      </c>
      <c r="R100" s="294">
        <v>0</v>
      </c>
      <c r="S100" s="294">
        <v>0</v>
      </c>
      <c r="T100" s="294">
        <v>6014.54</v>
      </c>
      <c r="U100" s="294">
        <v>0</v>
      </c>
      <c r="V100" s="294">
        <v>0</v>
      </c>
      <c r="W100" s="294">
        <v>34846.11</v>
      </c>
      <c r="X100" s="294">
        <v>16202</v>
      </c>
      <c r="Y100" s="294">
        <v>5173152.04</v>
      </c>
      <c r="Z100" s="294">
        <v>1561162.3800000022</v>
      </c>
      <c r="AA100" s="294">
        <v>0</v>
      </c>
      <c r="AB100" s="294">
        <v>1293558.1299999999</v>
      </c>
      <c r="AC100" s="294">
        <v>254376.6299999964</v>
      </c>
      <c r="AD100" s="294">
        <v>233355.17</v>
      </c>
      <c r="AE100" s="294">
        <v>29035.99</v>
      </c>
      <c r="AF100" s="294">
        <v>309902.4300000011</v>
      </c>
      <c r="AG100" s="294">
        <v>13493.34999999992</v>
      </c>
      <c r="AH100" s="294">
        <v>15521.439999999999</v>
      </c>
      <c r="AI100" s="294">
        <v>0</v>
      </c>
      <c r="AJ100" s="294">
        <v>0</v>
      </c>
      <c r="AK100" s="294">
        <v>16084.789999999999</v>
      </c>
      <c r="AL100" s="294">
        <v>4502.6899999999996</v>
      </c>
      <c r="AM100" s="294">
        <v>16069.81</v>
      </c>
      <c r="AN100" s="294">
        <v>9263</v>
      </c>
      <c r="AO100" s="294">
        <v>101930.85000000002</v>
      </c>
      <c r="AP100" s="294">
        <v>2147.34</v>
      </c>
      <c r="AQ100" s="294">
        <v>89718.21</v>
      </c>
      <c r="AR100" s="294">
        <v>98516.64</v>
      </c>
      <c r="AS100" s="294">
        <v>15923.44</v>
      </c>
      <c r="AT100" s="294">
        <v>71772.37</v>
      </c>
      <c r="AU100" s="294">
        <v>35947.790000000008</v>
      </c>
      <c r="AV100" s="294">
        <v>3291.75</v>
      </c>
      <c r="AW100" s="294">
        <v>1513</v>
      </c>
      <c r="AX100" s="294">
        <v>50758.630000000034</v>
      </c>
      <c r="AY100" s="294">
        <v>588341.73999999976</v>
      </c>
      <c r="AZ100" s="294">
        <v>56563.08</v>
      </c>
      <c r="BA100" s="294">
        <v>154706.86000000002</v>
      </c>
      <c r="BB100" s="294">
        <v>0</v>
      </c>
      <c r="BC100" s="294">
        <v>0</v>
      </c>
      <c r="BD100" s="294">
        <v>0</v>
      </c>
      <c r="BE100" s="294">
        <v>5027457.5100000007</v>
      </c>
      <c r="BF100" s="294">
        <v>660064.80999999947</v>
      </c>
      <c r="BG100" s="294">
        <v>145694.52999999933</v>
      </c>
      <c r="BH100" s="294">
        <v>805759.3399999988</v>
      </c>
      <c r="BI100" s="294">
        <v>10581.25</v>
      </c>
      <c r="BJ100" s="294">
        <v>0</v>
      </c>
      <c r="BK100" s="294">
        <v>0</v>
      </c>
      <c r="BL100" s="294">
        <v>10581.25</v>
      </c>
      <c r="BM100" s="294">
        <v>0</v>
      </c>
      <c r="BN100" s="294">
        <v>0</v>
      </c>
      <c r="BO100" s="294">
        <v>0</v>
      </c>
      <c r="BP100" s="294">
        <v>0</v>
      </c>
      <c r="BQ100" s="294">
        <v>0</v>
      </c>
      <c r="BR100" s="294">
        <v>42896.09</v>
      </c>
      <c r="BS100" s="294">
        <v>10581.25</v>
      </c>
      <c r="BT100" s="294">
        <v>53477.34</v>
      </c>
      <c r="BU100" s="294">
        <v>0</v>
      </c>
      <c r="BV100" s="294">
        <v>0</v>
      </c>
      <c r="BW100" s="294">
        <v>0</v>
      </c>
      <c r="BX100" s="294">
        <v>0</v>
      </c>
      <c r="BY100" s="294">
        <v>0</v>
      </c>
      <c r="BZ100" s="294">
        <v>0</v>
      </c>
      <c r="CA100" s="294">
        <v>0</v>
      </c>
      <c r="CB100" s="294">
        <v>0</v>
      </c>
      <c r="CC100" s="294">
        <v>0</v>
      </c>
      <c r="CD100" s="294">
        <v>805759.3399999988</v>
      </c>
      <c r="CE100" s="294">
        <v>0</v>
      </c>
      <c r="CF100" s="294">
        <v>53477.34</v>
      </c>
      <c r="CG100" s="294">
        <v>0</v>
      </c>
      <c r="CH100" s="294">
        <v>0</v>
      </c>
      <c r="CI100" s="294">
        <f t="shared" si="1"/>
        <v>859236.67999999877</v>
      </c>
      <c r="CJ100" s="294">
        <v>1067269.1000000001</v>
      </c>
      <c r="CK100" s="294">
        <v>0</v>
      </c>
      <c r="CL100" s="294">
        <v>0</v>
      </c>
      <c r="CM100" s="294">
        <v>1067269.1000000001</v>
      </c>
      <c r="CN100" s="294">
        <v>0</v>
      </c>
      <c r="CO100" s="294">
        <v>0</v>
      </c>
      <c r="CP100" s="294">
        <v>15157.73</v>
      </c>
      <c r="CQ100" s="294">
        <v>0</v>
      </c>
      <c r="CR100" s="294">
        <v>-412282.73</v>
      </c>
      <c r="CS100" s="294">
        <v>670144.10000000009</v>
      </c>
      <c r="CT100" s="294">
        <v>0</v>
      </c>
      <c r="CU100" s="294">
        <v>0</v>
      </c>
      <c r="CV100" s="294">
        <v>0</v>
      </c>
      <c r="CW100" s="294">
        <v>0</v>
      </c>
      <c r="CX100" s="294"/>
      <c r="CY100" s="294"/>
      <c r="CZ100" s="294"/>
      <c r="DA100" s="294">
        <v>0</v>
      </c>
      <c r="DB100" s="294">
        <v>0</v>
      </c>
      <c r="DC100" s="294">
        <v>0</v>
      </c>
      <c r="DD100" s="294">
        <v>249625.66</v>
      </c>
      <c r="DE100" s="294">
        <v>3970.15</v>
      </c>
      <c r="DF100" s="294">
        <v>0</v>
      </c>
      <c r="DG100" s="294">
        <v>-64503.57</v>
      </c>
      <c r="DH100" s="294">
        <v>0</v>
      </c>
      <c r="DI100" s="294">
        <v>0</v>
      </c>
      <c r="DJ100" s="294">
        <v>0</v>
      </c>
      <c r="DK100" s="294">
        <v>189092.24</v>
      </c>
      <c r="DL100" s="294">
        <v>0</v>
      </c>
      <c r="DM100" s="294">
        <v>0</v>
      </c>
      <c r="DN100" s="294">
        <v>0</v>
      </c>
      <c r="DO100" s="294">
        <v>0</v>
      </c>
      <c r="DP100" s="294">
        <v>0</v>
      </c>
      <c r="DQ100" s="324">
        <v>0.33999999985098839</v>
      </c>
      <c r="DR100" s="295">
        <v>3694884.08</v>
      </c>
      <c r="DS100" s="325">
        <v>1332573.4300000006</v>
      </c>
      <c r="DT100" s="295">
        <v>588341.73999999976</v>
      </c>
      <c r="DU100" s="295">
        <v>464582.98</v>
      </c>
      <c r="DV100" s="295">
        <v>0</v>
      </c>
      <c r="DW100" s="295">
        <v>0</v>
      </c>
    </row>
    <row r="101" spans="1:127">
      <c r="A101" s="321">
        <v>2462</v>
      </c>
      <c r="B101" s="322" t="s">
        <v>358</v>
      </c>
      <c r="C101" s="321">
        <v>2462</v>
      </c>
      <c r="D101" s="323" t="s">
        <v>817</v>
      </c>
      <c r="E101" s="323" t="s">
        <v>539</v>
      </c>
      <c r="F101" s="323" t="s">
        <v>818</v>
      </c>
      <c r="G101" s="323" t="s">
        <v>537</v>
      </c>
      <c r="H101" s="294">
        <v>2104095.67</v>
      </c>
      <c r="I101" s="294">
        <v>0</v>
      </c>
      <c r="J101" s="294">
        <v>34470.980000000003</v>
      </c>
      <c r="K101" s="294">
        <v>0</v>
      </c>
      <c r="L101" s="294">
        <v>55707</v>
      </c>
      <c r="M101" s="294">
        <v>711666</v>
      </c>
      <c r="N101" s="294">
        <v>40776</v>
      </c>
      <c r="O101" s="294">
        <v>31432</v>
      </c>
      <c r="P101" s="294">
        <v>38629.86</v>
      </c>
      <c r="Q101" s="294">
        <v>84932.31</v>
      </c>
      <c r="R101" s="294">
        <v>0</v>
      </c>
      <c r="S101" s="294">
        <v>0</v>
      </c>
      <c r="T101" s="294">
        <v>66064.850000000006</v>
      </c>
      <c r="U101" s="294">
        <v>20281.009999999998</v>
      </c>
      <c r="V101" s="294">
        <v>0</v>
      </c>
      <c r="W101" s="294">
        <v>2403.13</v>
      </c>
      <c r="X101" s="294">
        <v>101531</v>
      </c>
      <c r="Y101" s="294">
        <v>3291989.8099999996</v>
      </c>
      <c r="Z101" s="294">
        <v>1234342.45</v>
      </c>
      <c r="AA101" s="294">
        <v>0</v>
      </c>
      <c r="AB101" s="294">
        <v>327579.85000000003</v>
      </c>
      <c r="AC101" s="294">
        <v>19346.72</v>
      </c>
      <c r="AD101" s="294">
        <v>165546.46</v>
      </c>
      <c r="AE101" s="294">
        <v>0</v>
      </c>
      <c r="AF101" s="294">
        <v>158415.77000000002</v>
      </c>
      <c r="AG101" s="294">
        <v>1960.9</v>
      </c>
      <c r="AH101" s="294">
        <v>7459.71</v>
      </c>
      <c r="AI101" s="294">
        <v>0</v>
      </c>
      <c r="AJ101" s="294">
        <v>0</v>
      </c>
      <c r="AK101" s="294">
        <v>21225.9</v>
      </c>
      <c r="AL101" s="294">
        <v>4287.96</v>
      </c>
      <c r="AM101" s="294">
        <v>51392.3</v>
      </c>
      <c r="AN101" s="294">
        <v>9252.7799999999988</v>
      </c>
      <c r="AO101" s="294">
        <v>44917.33</v>
      </c>
      <c r="AP101" s="294">
        <v>54589.67</v>
      </c>
      <c r="AQ101" s="294">
        <v>11252.56</v>
      </c>
      <c r="AR101" s="294">
        <v>102627.87</v>
      </c>
      <c r="AS101" s="294">
        <v>24627.640000000003</v>
      </c>
      <c r="AT101" s="294">
        <v>0</v>
      </c>
      <c r="AU101" s="294">
        <v>65210.92</v>
      </c>
      <c r="AV101" s="294">
        <v>9471</v>
      </c>
      <c r="AW101" s="294">
        <v>442675.39</v>
      </c>
      <c r="AX101" s="294">
        <v>200256.72999999998</v>
      </c>
      <c r="AY101" s="294">
        <v>37759.61</v>
      </c>
      <c r="AZ101" s="294">
        <v>28051.870000000003</v>
      </c>
      <c r="BA101" s="294">
        <v>376198.56</v>
      </c>
      <c r="BB101" s="294">
        <v>0</v>
      </c>
      <c r="BC101" s="294">
        <v>0</v>
      </c>
      <c r="BD101" s="294">
        <v>0</v>
      </c>
      <c r="BE101" s="294">
        <v>3398449.95</v>
      </c>
      <c r="BF101" s="294">
        <v>730779.20999999973</v>
      </c>
      <c r="BG101" s="294">
        <v>-106460.1400000006</v>
      </c>
      <c r="BH101" s="294">
        <v>624319.06999999913</v>
      </c>
      <c r="BI101" s="294">
        <v>8741.8799999999992</v>
      </c>
      <c r="BJ101" s="294">
        <v>0</v>
      </c>
      <c r="BK101" s="294">
        <v>0</v>
      </c>
      <c r="BL101" s="294">
        <v>8741.8799999999992</v>
      </c>
      <c r="BM101" s="294">
        <v>0</v>
      </c>
      <c r="BN101" s="294">
        <v>0</v>
      </c>
      <c r="BO101" s="294">
        <v>19156.05</v>
      </c>
      <c r="BP101" s="294">
        <v>0</v>
      </c>
      <c r="BQ101" s="294">
        <v>19156.05</v>
      </c>
      <c r="BR101" s="294">
        <v>14805</v>
      </c>
      <c r="BS101" s="294">
        <v>-10414.17</v>
      </c>
      <c r="BT101" s="294">
        <v>4390.83</v>
      </c>
      <c r="BU101" s="294">
        <v>0</v>
      </c>
      <c r="BV101" s="294">
        <v>0</v>
      </c>
      <c r="BW101" s="294">
        <v>0</v>
      </c>
      <c r="BX101" s="294">
        <v>0</v>
      </c>
      <c r="BY101" s="294">
        <v>0</v>
      </c>
      <c r="BZ101" s="294">
        <v>0</v>
      </c>
      <c r="CA101" s="294">
        <v>0</v>
      </c>
      <c r="CB101" s="294">
        <v>0</v>
      </c>
      <c r="CC101" s="294">
        <v>0</v>
      </c>
      <c r="CD101" s="294">
        <v>678279.99</v>
      </c>
      <c r="CE101" s="294">
        <v>0</v>
      </c>
      <c r="CF101" s="294">
        <v>4390.83</v>
      </c>
      <c r="CG101" s="294">
        <v>0</v>
      </c>
      <c r="CH101" s="294">
        <v>0</v>
      </c>
      <c r="CI101" s="294">
        <f t="shared" si="1"/>
        <v>682670.82</v>
      </c>
      <c r="CJ101" s="294">
        <v>780027.15</v>
      </c>
      <c r="CK101" s="294">
        <v>5971.39</v>
      </c>
      <c r="CL101" s="294">
        <v>0</v>
      </c>
      <c r="CM101" s="294">
        <v>774055.76</v>
      </c>
      <c r="CN101" s="294">
        <v>0</v>
      </c>
      <c r="CO101" s="294">
        <v>0</v>
      </c>
      <c r="CP101" s="294">
        <v>5178.2299999999996</v>
      </c>
      <c r="CQ101" s="294">
        <v>0</v>
      </c>
      <c r="CR101" s="294">
        <v>0</v>
      </c>
      <c r="CS101" s="294">
        <v>779233.99</v>
      </c>
      <c r="CT101" s="294">
        <v>1005.2</v>
      </c>
      <c r="CU101" s="294">
        <v>0</v>
      </c>
      <c r="CV101" s="294">
        <v>0</v>
      </c>
      <c r="CW101" s="294">
        <v>1005.2</v>
      </c>
      <c r="CX101" s="294"/>
      <c r="CY101" s="294"/>
      <c r="CZ101" s="294"/>
      <c r="DA101" s="294">
        <v>0</v>
      </c>
      <c r="DB101" s="294">
        <v>1005.2</v>
      </c>
      <c r="DC101" s="294">
        <v>14719.05</v>
      </c>
      <c r="DD101" s="294">
        <v>0</v>
      </c>
      <c r="DE101" s="294">
        <v>7054.94</v>
      </c>
      <c r="DF101" s="294">
        <v>0</v>
      </c>
      <c r="DG101" s="294">
        <v>-18330.11</v>
      </c>
      <c r="DH101" s="294">
        <v>-53960.92</v>
      </c>
      <c r="DI101" s="294">
        <v>0</v>
      </c>
      <c r="DJ101" s="294">
        <v>-20425.830000000002</v>
      </c>
      <c r="DK101" s="294">
        <v>-70942.87</v>
      </c>
      <c r="DL101" s="294">
        <v>4500</v>
      </c>
      <c r="DM101" s="294">
        <v>71096.06</v>
      </c>
      <c r="DN101" s="294">
        <v>0</v>
      </c>
      <c r="DO101" s="294">
        <v>-156182.46</v>
      </c>
      <c r="DP101" s="294">
        <v>0</v>
      </c>
      <c r="DQ101" s="324">
        <v>-2.0000000135041773E-2</v>
      </c>
      <c r="DR101" s="295">
        <v>1907192.15</v>
      </c>
      <c r="DS101" s="325">
        <v>1491257.8000000003</v>
      </c>
      <c r="DT101" s="295">
        <v>37759.61</v>
      </c>
      <c r="DU101" s="295">
        <v>221059.02</v>
      </c>
      <c r="DV101" s="295">
        <v>20281.009999999998</v>
      </c>
      <c r="DW101" s="295">
        <v>-80586.399999999994</v>
      </c>
    </row>
    <row r="102" spans="1:127">
      <c r="A102" s="321">
        <v>7012</v>
      </c>
      <c r="B102" s="322" t="s">
        <v>500</v>
      </c>
      <c r="C102" s="321">
        <v>7012</v>
      </c>
      <c r="D102" s="323" t="s">
        <v>817</v>
      </c>
      <c r="E102" s="323" t="s">
        <v>541</v>
      </c>
      <c r="F102" s="323" t="s">
        <v>818</v>
      </c>
      <c r="G102" s="323" t="s">
        <v>537</v>
      </c>
      <c r="H102" s="294">
        <v>789559</v>
      </c>
      <c r="I102" s="294">
        <v>0</v>
      </c>
      <c r="J102" s="294">
        <v>653322</v>
      </c>
      <c r="K102" s="294">
        <v>0</v>
      </c>
      <c r="L102" s="294">
        <v>51800</v>
      </c>
      <c r="M102" s="294">
        <v>0</v>
      </c>
      <c r="N102" s="294">
        <v>0</v>
      </c>
      <c r="O102" s="294">
        <v>0</v>
      </c>
      <c r="P102" s="294">
        <v>271794</v>
      </c>
      <c r="Q102" s="294">
        <v>17689</v>
      </c>
      <c r="R102" s="294">
        <v>0</v>
      </c>
      <c r="S102" s="294">
        <v>0</v>
      </c>
      <c r="T102" s="294">
        <v>0</v>
      </c>
      <c r="U102" s="294">
        <v>0</v>
      </c>
      <c r="V102" s="294">
        <v>0</v>
      </c>
      <c r="W102" s="294">
        <v>9194</v>
      </c>
      <c r="X102" s="294">
        <v>22004</v>
      </c>
      <c r="Y102" s="294">
        <v>1815362</v>
      </c>
      <c r="Z102" s="294">
        <v>632686</v>
      </c>
      <c r="AA102" s="294">
        <v>-1570</v>
      </c>
      <c r="AB102" s="294">
        <v>-9215</v>
      </c>
      <c r="AC102" s="294">
        <v>488924</v>
      </c>
      <c r="AD102" s="294">
        <v>0</v>
      </c>
      <c r="AE102" s="294">
        <v>0</v>
      </c>
      <c r="AF102" s="294">
        <v>480439</v>
      </c>
      <c r="AG102" s="294">
        <v>17372</v>
      </c>
      <c r="AH102" s="294">
        <v>185</v>
      </c>
      <c r="AI102" s="294">
        <v>0</v>
      </c>
      <c r="AJ102" s="294">
        <v>0</v>
      </c>
      <c r="AK102" s="294">
        <v>158</v>
      </c>
      <c r="AL102" s="294">
        <v>0</v>
      </c>
      <c r="AM102" s="294">
        <v>1220</v>
      </c>
      <c r="AN102" s="294">
        <v>0</v>
      </c>
      <c r="AO102" s="294">
        <v>17794</v>
      </c>
      <c r="AP102" s="294">
        <v>0</v>
      </c>
      <c r="AQ102" s="294">
        <v>233</v>
      </c>
      <c r="AR102" s="294">
        <v>250645</v>
      </c>
      <c r="AS102" s="294">
        <v>1279</v>
      </c>
      <c r="AT102" s="294">
        <v>630</v>
      </c>
      <c r="AU102" s="294">
        <v>75901</v>
      </c>
      <c r="AV102" s="294">
        <v>3292</v>
      </c>
      <c r="AW102" s="294">
        <v>0</v>
      </c>
      <c r="AX102" s="294">
        <v>73158.62</v>
      </c>
      <c r="AY102" s="294">
        <v>0</v>
      </c>
      <c r="AZ102" s="294">
        <v>0</v>
      </c>
      <c r="BA102" s="294">
        <v>17185</v>
      </c>
      <c r="BB102" s="294">
        <v>0</v>
      </c>
      <c r="BC102" s="294">
        <v>0</v>
      </c>
      <c r="BD102" s="294">
        <v>0</v>
      </c>
      <c r="BE102" s="294">
        <v>2050316.62</v>
      </c>
      <c r="BF102" s="294">
        <v>103482</v>
      </c>
      <c r="BG102" s="294">
        <v>-234954.62000000011</v>
      </c>
      <c r="BH102" s="294">
        <v>-131472.62000000011</v>
      </c>
      <c r="BI102" s="294">
        <v>7038</v>
      </c>
      <c r="BJ102" s="294">
        <v>0</v>
      </c>
      <c r="BK102" s="294">
        <v>0</v>
      </c>
      <c r="BL102" s="294">
        <v>7038</v>
      </c>
      <c r="BM102" s="294">
        <v>0</v>
      </c>
      <c r="BN102" s="294">
        <v>4695</v>
      </c>
      <c r="BO102" s="294">
        <v>0</v>
      </c>
      <c r="BP102" s="294">
        <v>0</v>
      </c>
      <c r="BQ102" s="294">
        <v>4695</v>
      </c>
      <c r="BR102" s="294">
        <v>36285</v>
      </c>
      <c r="BS102" s="294">
        <v>2342</v>
      </c>
      <c r="BT102" s="294">
        <v>38628</v>
      </c>
      <c r="BU102" s="294">
        <v>0</v>
      </c>
      <c r="BV102" s="294">
        <v>0</v>
      </c>
      <c r="BW102" s="294">
        <v>0</v>
      </c>
      <c r="BX102" s="294">
        <v>0</v>
      </c>
      <c r="BY102" s="294">
        <v>0</v>
      </c>
      <c r="BZ102" s="294">
        <v>0</v>
      </c>
      <c r="CA102" s="294">
        <v>0</v>
      </c>
      <c r="CB102" s="294">
        <v>0</v>
      </c>
      <c r="CC102" s="294">
        <v>0</v>
      </c>
      <c r="CD102" s="294">
        <v>-131472.62000000011</v>
      </c>
      <c r="CE102" s="294">
        <v>0</v>
      </c>
      <c r="CF102" s="294">
        <v>38628</v>
      </c>
      <c r="CG102" s="294">
        <v>0</v>
      </c>
      <c r="CH102" s="294">
        <v>0</v>
      </c>
      <c r="CI102" s="294">
        <f t="shared" si="1"/>
        <v>-92844.620000000112</v>
      </c>
      <c r="CJ102" s="294">
        <v>202306</v>
      </c>
      <c r="CK102" s="294">
        <v>0</v>
      </c>
      <c r="CL102" s="294">
        <v>0</v>
      </c>
      <c r="CM102" s="294">
        <v>202306</v>
      </c>
      <c r="CN102" s="294">
        <v>0</v>
      </c>
      <c r="CO102" s="294">
        <v>0</v>
      </c>
      <c r="CP102" s="294">
        <v>0</v>
      </c>
      <c r="CQ102" s="294">
        <v>0</v>
      </c>
      <c r="CR102" s="294">
        <v>-280165</v>
      </c>
      <c r="CS102" s="294">
        <v>-77859</v>
      </c>
      <c r="CT102" s="294">
        <v>0</v>
      </c>
      <c r="CU102" s="294">
        <v>0</v>
      </c>
      <c r="CV102" s="294">
        <v>0</v>
      </c>
      <c r="CW102" s="294">
        <v>0</v>
      </c>
      <c r="CX102" s="294"/>
      <c r="CY102" s="294"/>
      <c r="CZ102" s="294"/>
      <c r="DA102" s="294">
        <v>0</v>
      </c>
      <c r="DB102" s="294">
        <v>0</v>
      </c>
      <c r="DC102" s="294">
        <v>0</v>
      </c>
      <c r="DD102" s="294">
        <v>95</v>
      </c>
      <c r="DE102" s="294">
        <v>0</v>
      </c>
      <c r="DF102" s="294">
        <v>0</v>
      </c>
      <c r="DG102" s="294">
        <v>0</v>
      </c>
      <c r="DH102" s="294">
        <v>-15080.62</v>
      </c>
      <c r="DI102" s="294">
        <v>0</v>
      </c>
      <c r="DJ102" s="294">
        <v>0</v>
      </c>
      <c r="DK102" s="294">
        <v>-14985.62</v>
      </c>
      <c r="DL102" s="294">
        <v>0</v>
      </c>
      <c r="DM102" s="294">
        <v>0</v>
      </c>
      <c r="DN102" s="294">
        <v>0</v>
      </c>
      <c r="DO102" s="294">
        <v>0</v>
      </c>
      <c r="DP102" s="294">
        <v>0</v>
      </c>
      <c r="DQ102" s="324">
        <v>-0.01</v>
      </c>
      <c r="DR102" s="295">
        <v>1608636</v>
      </c>
      <c r="DS102" s="325">
        <v>441680.62000000011</v>
      </c>
      <c r="DT102" s="295">
        <v>0</v>
      </c>
      <c r="DU102" s="295">
        <v>289483</v>
      </c>
      <c r="DV102" s="295">
        <v>0</v>
      </c>
      <c r="DW102" s="295">
        <v>0</v>
      </c>
    </row>
    <row r="103" spans="1:127">
      <c r="A103" s="321">
        <v>2127</v>
      </c>
      <c r="B103" s="322" t="s">
        <v>359</v>
      </c>
      <c r="C103" s="321">
        <v>2127</v>
      </c>
      <c r="D103" s="323" t="s">
        <v>817</v>
      </c>
      <c r="E103" s="323" t="s">
        <v>539</v>
      </c>
      <c r="F103" s="323" t="s">
        <v>818</v>
      </c>
      <c r="G103" s="323" t="s">
        <v>537</v>
      </c>
      <c r="H103" s="294">
        <v>2759902.69</v>
      </c>
      <c r="I103" s="294">
        <v>0</v>
      </c>
      <c r="J103" s="294">
        <v>178241.43</v>
      </c>
      <c r="K103" s="294">
        <v>0</v>
      </c>
      <c r="L103" s="294">
        <v>362600</v>
      </c>
      <c r="M103" s="294">
        <v>7885.64</v>
      </c>
      <c r="N103" s="294">
        <v>0</v>
      </c>
      <c r="O103" s="294">
        <v>0</v>
      </c>
      <c r="P103" s="294">
        <v>19872.93</v>
      </c>
      <c r="Q103" s="294">
        <v>1270.9000000000001</v>
      </c>
      <c r="R103" s="294">
        <v>0</v>
      </c>
      <c r="S103" s="294">
        <v>0</v>
      </c>
      <c r="T103" s="294">
        <v>14243.6</v>
      </c>
      <c r="U103" s="294">
        <v>18564.61</v>
      </c>
      <c r="V103" s="294">
        <v>0</v>
      </c>
      <c r="W103" s="294">
        <v>258.13</v>
      </c>
      <c r="X103" s="294">
        <v>57382</v>
      </c>
      <c r="Y103" s="294">
        <v>3420221.93</v>
      </c>
      <c r="Z103" s="294">
        <v>1359889.66</v>
      </c>
      <c r="AA103" s="294">
        <v>0</v>
      </c>
      <c r="AB103" s="294">
        <v>488862.78</v>
      </c>
      <c r="AC103" s="294">
        <v>0</v>
      </c>
      <c r="AD103" s="294">
        <v>196614.13</v>
      </c>
      <c r="AE103" s="294">
        <v>0</v>
      </c>
      <c r="AF103" s="294">
        <v>97019.03</v>
      </c>
      <c r="AG103" s="294">
        <v>10860.04</v>
      </c>
      <c r="AH103" s="294">
        <v>6947.6</v>
      </c>
      <c r="AI103" s="294">
        <v>0</v>
      </c>
      <c r="AJ103" s="294">
        <v>11252.12</v>
      </c>
      <c r="AK103" s="294">
        <v>2829.96</v>
      </c>
      <c r="AL103" s="294">
        <v>0</v>
      </c>
      <c r="AM103" s="294">
        <v>0</v>
      </c>
      <c r="AN103" s="294">
        <v>16626.490000000002</v>
      </c>
      <c r="AO103" s="294">
        <v>120690.17000000001</v>
      </c>
      <c r="AP103" s="294">
        <v>64578.17</v>
      </c>
      <c r="AQ103" s="294">
        <v>26059.14</v>
      </c>
      <c r="AR103" s="294">
        <v>51873.32</v>
      </c>
      <c r="AS103" s="294">
        <v>76364.95</v>
      </c>
      <c r="AT103" s="294">
        <v>0</v>
      </c>
      <c r="AU103" s="294">
        <v>40636.089999999997</v>
      </c>
      <c r="AV103" s="294">
        <v>0</v>
      </c>
      <c r="AW103" s="294">
        <v>1610</v>
      </c>
      <c r="AX103" s="294">
        <v>184440.94</v>
      </c>
      <c r="AY103" s="294">
        <v>362845.2</v>
      </c>
      <c r="AZ103" s="294">
        <v>14420.76</v>
      </c>
      <c r="BA103" s="294">
        <v>103895.67</v>
      </c>
      <c r="BB103" s="294">
        <v>296998.67</v>
      </c>
      <c r="BC103" s="294">
        <v>0</v>
      </c>
      <c r="BD103" s="294">
        <v>0</v>
      </c>
      <c r="BE103" s="294">
        <v>3535314.8899999997</v>
      </c>
      <c r="BF103" s="294">
        <v>429121.32000000041</v>
      </c>
      <c r="BG103" s="294">
        <v>-115092.9599999995</v>
      </c>
      <c r="BH103" s="294">
        <v>314028.36000000092</v>
      </c>
      <c r="BI103" s="294">
        <v>9015.25</v>
      </c>
      <c r="BJ103" s="294">
        <v>0</v>
      </c>
      <c r="BK103" s="294">
        <v>0</v>
      </c>
      <c r="BL103" s="294">
        <v>9015.25</v>
      </c>
      <c r="BM103" s="294">
        <v>0</v>
      </c>
      <c r="BN103" s="294">
        <v>0</v>
      </c>
      <c r="BO103" s="294">
        <v>0</v>
      </c>
      <c r="BP103" s="294">
        <v>0</v>
      </c>
      <c r="BQ103" s="294">
        <v>0</v>
      </c>
      <c r="BR103" s="294">
        <v>36941.53</v>
      </c>
      <c r="BS103" s="294">
        <v>9015.25</v>
      </c>
      <c r="BT103" s="294">
        <v>45956.78</v>
      </c>
      <c r="BU103" s="294">
        <v>0</v>
      </c>
      <c r="BV103" s="294">
        <v>0</v>
      </c>
      <c r="BW103" s="294">
        <v>0</v>
      </c>
      <c r="BX103" s="294">
        <v>0</v>
      </c>
      <c r="BY103" s="294">
        <v>0</v>
      </c>
      <c r="BZ103" s="294">
        <v>0</v>
      </c>
      <c r="CA103" s="294">
        <v>0</v>
      </c>
      <c r="CB103" s="294">
        <v>0</v>
      </c>
      <c r="CC103" s="294">
        <v>0</v>
      </c>
      <c r="CD103" s="294">
        <v>314028.36000000092</v>
      </c>
      <c r="CE103" s="294">
        <v>0</v>
      </c>
      <c r="CF103" s="294">
        <v>45956.78</v>
      </c>
      <c r="CG103" s="294">
        <v>0</v>
      </c>
      <c r="CH103" s="294">
        <v>0</v>
      </c>
      <c r="CI103" s="294">
        <f t="shared" si="1"/>
        <v>359985.14000000095</v>
      </c>
      <c r="CJ103" s="294">
        <v>661121.15</v>
      </c>
      <c r="CK103" s="294">
        <v>81841.509999999995</v>
      </c>
      <c r="CL103" s="294">
        <v>0</v>
      </c>
      <c r="CM103" s="294">
        <v>579279.64</v>
      </c>
      <c r="CN103" s="294">
        <v>0</v>
      </c>
      <c r="CO103" s="294">
        <v>0</v>
      </c>
      <c r="CP103" s="294">
        <v>10350.85</v>
      </c>
      <c r="CQ103" s="294">
        <v>12525.230000000001</v>
      </c>
      <c r="CR103" s="294">
        <v>-182699.02</v>
      </c>
      <c r="CS103" s="294">
        <v>419456.69999999995</v>
      </c>
      <c r="CT103" s="294">
        <v>0</v>
      </c>
      <c r="CU103" s="294">
        <v>0</v>
      </c>
      <c r="CV103" s="294">
        <v>0</v>
      </c>
      <c r="CW103" s="294">
        <v>0</v>
      </c>
      <c r="CX103" s="294"/>
      <c r="CY103" s="294"/>
      <c r="CZ103" s="294"/>
      <c r="DA103" s="294">
        <v>0</v>
      </c>
      <c r="DB103" s="294">
        <v>0</v>
      </c>
      <c r="DC103" s="294">
        <v>0</v>
      </c>
      <c r="DD103" s="294">
        <v>0</v>
      </c>
      <c r="DE103" s="294">
        <v>0</v>
      </c>
      <c r="DF103" s="294">
        <v>0</v>
      </c>
      <c r="DG103" s="294">
        <v>-59109.47</v>
      </c>
      <c r="DH103" s="294">
        <v>-361.9</v>
      </c>
      <c r="DI103" s="294">
        <v>0</v>
      </c>
      <c r="DJ103" s="294">
        <v>0</v>
      </c>
      <c r="DK103" s="294">
        <v>-59471.37</v>
      </c>
      <c r="DL103" s="294">
        <v>0</v>
      </c>
      <c r="DM103" s="294">
        <v>0</v>
      </c>
      <c r="DN103" s="294">
        <v>0</v>
      </c>
      <c r="DO103" s="294">
        <v>0</v>
      </c>
      <c r="DP103" s="294">
        <v>0</v>
      </c>
      <c r="DQ103" s="324">
        <v>-0.18999999994412065</v>
      </c>
      <c r="DR103" s="295">
        <v>2153245.6399999997</v>
      </c>
      <c r="DS103" s="325">
        <v>1382069.25</v>
      </c>
      <c r="DT103" s="295">
        <v>362845.2</v>
      </c>
      <c r="DU103" s="295">
        <v>35387.43</v>
      </c>
      <c r="DV103" s="295">
        <v>18564.61</v>
      </c>
      <c r="DW103" s="295">
        <v>0</v>
      </c>
    </row>
    <row r="104" spans="1:127">
      <c r="A104" s="321">
        <v>2129</v>
      </c>
      <c r="B104" s="322" t="s">
        <v>360</v>
      </c>
      <c r="C104" s="321">
        <v>2129</v>
      </c>
      <c r="D104" s="323" t="s">
        <v>817</v>
      </c>
      <c r="E104" s="323" t="s">
        <v>539</v>
      </c>
      <c r="F104" s="323" t="s">
        <v>818</v>
      </c>
      <c r="G104" s="323" t="s">
        <v>537</v>
      </c>
      <c r="H104" s="294">
        <v>1484315.9000000001</v>
      </c>
      <c r="I104" s="294">
        <v>0</v>
      </c>
      <c r="J104" s="294">
        <v>179452.41</v>
      </c>
      <c r="K104" s="294">
        <v>0</v>
      </c>
      <c r="L104" s="294">
        <v>88750</v>
      </c>
      <c r="M104" s="294">
        <v>2342.5700000000002</v>
      </c>
      <c r="N104" s="294">
        <v>0</v>
      </c>
      <c r="O104" s="294">
        <v>0</v>
      </c>
      <c r="P104" s="294">
        <v>77002.600000000006</v>
      </c>
      <c r="Q104" s="294">
        <v>0</v>
      </c>
      <c r="R104" s="294">
        <v>0</v>
      </c>
      <c r="S104" s="294">
        <v>0</v>
      </c>
      <c r="T104" s="294">
        <v>4675.3</v>
      </c>
      <c r="U104" s="294">
        <v>6028.99</v>
      </c>
      <c r="V104" s="294">
        <v>0</v>
      </c>
      <c r="W104" s="294">
        <v>4548</v>
      </c>
      <c r="X104" s="294">
        <v>99764</v>
      </c>
      <c r="Y104" s="294">
        <v>1946879.7700000003</v>
      </c>
      <c r="Z104" s="294">
        <v>879605.42</v>
      </c>
      <c r="AA104" s="294">
        <v>0</v>
      </c>
      <c r="AB104" s="294">
        <v>171244.26</v>
      </c>
      <c r="AC104" s="294">
        <v>84213.25</v>
      </c>
      <c r="AD104" s="294">
        <v>159771.79</v>
      </c>
      <c r="AE104" s="294">
        <v>0</v>
      </c>
      <c r="AF104" s="294">
        <v>57311.63</v>
      </c>
      <c r="AG104" s="294">
        <v>8212.56</v>
      </c>
      <c r="AH104" s="294">
        <v>8056.97</v>
      </c>
      <c r="AI104" s="294">
        <v>0</v>
      </c>
      <c r="AJ104" s="294">
        <v>0</v>
      </c>
      <c r="AK104" s="294">
        <v>19065.740000000002</v>
      </c>
      <c r="AL104" s="294">
        <v>4231.21</v>
      </c>
      <c r="AM104" s="294">
        <v>15885.61</v>
      </c>
      <c r="AN104" s="294">
        <v>1274.53</v>
      </c>
      <c r="AO104" s="294">
        <v>129130.62</v>
      </c>
      <c r="AP104" s="294">
        <v>17553.5</v>
      </c>
      <c r="AQ104" s="294">
        <v>11699.743333333334</v>
      </c>
      <c r="AR104" s="294">
        <v>54292.21</v>
      </c>
      <c r="AS104" s="294">
        <v>12945.102254901962</v>
      </c>
      <c r="AT104" s="294">
        <v>0</v>
      </c>
      <c r="AU104" s="294">
        <v>31183.610833333332</v>
      </c>
      <c r="AV104" s="294">
        <v>6525</v>
      </c>
      <c r="AW104" s="294">
        <v>0</v>
      </c>
      <c r="AX104" s="294">
        <v>82011.34</v>
      </c>
      <c r="AY104" s="294">
        <v>276632.71000000002</v>
      </c>
      <c r="AZ104" s="294">
        <v>10323.200000000001</v>
      </c>
      <c r="BA104" s="294">
        <v>71246.320000000007</v>
      </c>
      <c r="BB104" s="294">
        <v>0</v>
      </c>
      <c r="BC104" s="294">
        <v>0</v>
      </c>
      <c r="BD104" s="294">
        <v>0</v>
      </c>
      <c r="BE104" s="294">
        <v>2112416.3264215691</v>
      </c>
      <c r="BF104" s="294">
        <v>215618.48999999967</v>
      </c>
      <c r="BG104" s="294">
        <v>-165536.55642156885</v>
      </c>
      <c r="BH104" s="294">
        <v>50081.93357843082</v>
      </c>
      <c r="BI104" s="294">
        <v>7150</v>
      </c>
      <c r="BJ104" s="294">
        <v>0</v>
      </c>
      <c r="BK104" s="294">
        <v>0</v>
      </c>
      <c r="BL104" s="294">
        <v>7150</v>
      </c>
      <c r="BM104" s="294">
        <v>0</v>
      </c>
      <c r="BN104" s="294">
        <v>27457.19</v>
      </c>
      <c r="BO104" s="294">
        <v>0</v>
      </c>
      <c r="BP104" s="294">
        <v>6484.85</v>
      </c>
      <c r="BQ104" s="294">
        <v>33942.04</v>
      </c>
      <c r="BR104" s="294">
        <v>57198.510000000009</v>
      </c>
      <c r="BS104" s="294">
        <v>-26792.04</v>
      </c>
      <c r="BT104" s="294">
        <v>30406.470000000008</v>
      </c>
      <c r="BU104" s="294">
        <v>0</v>
      </c>
      <c r="BV104" s="294">
        <v>0</v>
      </c>
      <c r="BW104" s="294">
        <v>0</v>
      </c>
      <c r="BX104" s="294">
        <v>0</v>
      </c>
      <c r="BY104" s="294">
        <v>0</v>
      </c>
      <c r="BZ104" s="294">
        <v>0</v>
      </c>
      <c r="CA104" s="294">
        <v>0</v>
      </c>
      <c r="CB104" s="294">
        <v>0</v>
      </c>
      <c r="CC104" s="294">
        <v>0</v>
      </c>
      <c r="CD104" s="294">
        <v>50081.93</v>
      </c>
      <c r="CE104" s="294">
        <v>0</v>
      </c>
      <c r="CF104" s="294">
        <v>30406.47</v>
      </c>
      <c r="CG104" s="294">
        <v>0</v>
      </c>
      <c r="CH104" s="294">
        <v>0</v>
      </c>
      <c r="CI104" s="294">
        <f t="shared" si="1"/>
        <v>80488.399999999994</v>
      </c>
      <c r="CJ104" s="294">
        <v>197094.75</v>
      </c>
      <c r="CK104" s="294">
        <v>38940.730000000003</v>
      </c>
      <c r="CL104" s="294">
        <v>249.63</v>
      </c>
      <c r="CM104" s="294">
        <v>158403.65</v>
      </c>
      <c r="CN104" s="294">
        <v>0</v>
      </c>
      <c r="CO104" s="294">
        <v>0</v>
      </c>
      <c r="CP104" s="294">
        <v>9989.86</v>
      </c>
      <c r="CQ104" s="294">
        <v>9427.3700000000026</v>
      </c>
      <c r="CR104" s="294">
        <v>0</v>
      </c>
      <c r="CS104" s="294">
        <v>177820.88</v>
      </c>
      <c r="CT104" s="294">
        <v>22442.97</v>
      </c>
      <c r="CU104" s="294">
        <v>0</v>
      </c>
      <c r="CV104" s="294">
        <v>0</v>
      </c>
      <c r="CW104" s="294">
        <v>22442.97</v>
      </c>
      <c r="CX104" s="294"/>
      <c r="CY104" s="294"/>
      <c r="CZ104" s="294"/>
      <c r="DA104" s="294">
        <v>0</v>
      </c>
      <c r="DB104" s="294">
        <v>22442.97</v>
      </c>
      <c r="DC104" s="294">
        <v>0</v>
      </c>
      <c r="DD104" s="294">
        <v>2029.82</v>
      </c>
      <c r="DE104" s="294">
        <v>2896.9</v>
      </c>
      <c r="DF104" s="294">
        <v>0</v>
      </c>
      <c r="DG104" s="294">
        <v>-7255.12</v>
      </c>
      <c r="DH104" s="294">
        <v>0</v>
      </c>
      <c r="DI104" s="294">
        <v>0</v>
      </c>
      <c r="DJ104" s="294">
        <v>0</v>
      </c>
      <c r="DK104" s="294">
        <v>-2328.3999999999996</v>
      </c>
      <c r="DL104" s="294">
        <v>0</v>
      </c>
      <c r="DM104" s="294">
        <v>0</v>
      </c>
      <c r="DN104" s="294">
        <v>-455.52</v>
      </c>
      <c r="DO104" s="294">
        <v>-116991.19</v>
      </c>
      <c r="DP104" s="294">
        <v>0</v>
      </c>
      <c r="DQ104" s="324">
        <v>-0.34000000002561137</v>
      </c>
      <c r="DR104" s="295">
        <v>1360358.9100000001</v>
      </c>
      <c r="DS104" s="325">
        <v>752057.41642156895</v>
      </c>
      <c r="DT104" s="295">
        <v>276632.71000000002</v>
      </c>
      <c r="DU104" s="295">
        <v>81677.900000000009</v>
      </c>
      <c r="DV104" s="295">
        <v>6028.99</v>
      </c>
      <c r="DW104" s="295">
        <v>-117446.71</v>
      </c>
    </row>
    <row r="105" spans="1:127">
      <c r="A105" s="321">
        <v>2128</v>
      </c>
      <c r="B105" s="322" t="s">
        <v>361</v>
      </c>
      <c r="C105" s="321">
        <v>2128</v>
      </c>
      <c r="D105" s="323" t="s">
        <v>817</v>
      </c>
      <c r="E105" s="323" t="s">
        <v>539</v>
      </c>
      <c r="F105" s="323" t="s">
        <v>818</v>
      </c>
      <c r="G105" s="323" t="s">
        <v>537</v>
      </c>
      <c r="H105" s="294">
        <v>2024922.51</v>
      </c>
      <c r="I105" s="294">
        <v>0</v>
      </c>
      <c r="J105" s="294">
        <v>161929.53</v>
      </c>
      <c r="K105" s="294">
        <v>0</v>
      </c>
      <c r="L105" s="294">
        <v>182560</v>
      </c>
      <c r="M105" s="294">
        <v>4456.93</v>
      </c>
      <c r="N105" s="294">
        <v>0</v>
      </c>
      <c r="O105" s="294">
        <v>0</v>
      </c>
      <c r="P105" s="294">
        <v>112305.31</v>
      </c>
      <c r="Q105" s="294">
        <v>39006.720000000001</v>
      </c>
      <c r="R105" s="294">
        <v>0</v>
      </c>
      <c r="S105" s="294">
        <v>0</v>
      </c>
      <c r="T105" s="294">
        <v>15913.21</v>
      </c>
      <c r="U105" s="294">
        <v>0</v>
      </c>
      <c r="V105" s="294">
        <v>0</v>
      </c>
      <c r="W105" s="294">
        <v>7708.75</v>
      </c>
      <c r="X105" s="294">
        <v>19649</v>
      </c>
      <c r="Y105" s="294">
        <v>2568451.9600000004</v>
      </c>
      <c r="Z105" s="294">
        <v>1280477.92</v>
      </c>
      <c r="AA105" s="294">
        <v>0</v>
      </c>
      <c r="AB105" s="294">
        <v>195160.79</v>
      </c>
      <c r="AC105" s="294">
        <v>33485.65</v>
      </c>
      <c r="AD105" s="294">
        <v>117430.39</v>
      </c>
      <c r="AE105" s="294">
        <v>143555.97</v>
      </c>
      <c r="AF105" s="294">
        <v>50059.59</v>
      </c>
      <c r="AG105" s="294">
        <v>7965.83</v>
      </c>
      <c r="AH105" s="294">
        <v>8263.5</v>
      </c>
      <c r="AI105" s="294">
        <v>0</v>
      </c>
      <c r="AJ105" s="294">
        <v>0</v>
      </c>
      <c r="AK105" s="294">
        <v>34046.620000000003</v>
      </c>
      <c r="AL105" s="294">
        <v>7349.95</v>
      </c>
      <c r="AM105" s="294">
        <v>46052.04</v>
      </c>
      <c r="AN105" s="294">
        <v>7578.66</v>
      </c>
      <c r="AO105" s="294">
        <v>90078.14</v>
      </c>
      <c r="AP105" s="294">
        <v>20960.28</v>
      </c>
      <c r="AQ105" s="294">
        <v>15390.54</v>
      </c>
      <c r="AR105" s="294">
        <v>80874.006666666668</v>
      </c>
      <c r="AS105" s="294">
        <v>18422.240000000002</v>
      </c>
      <c r="AT105" s="294">
        <v>0</v>
      </c>
      <c r="AU105" s="294">
        <v>27526.615000000002</v>
      </c>
      <c r="AV105" s="294">
        <v>10121</v>
      </c>
      <c r="AW105" s="294">
        <v>10200</v>
      </c>
      <c r="AX105" s="294">
        <v>94145.09</v>
      </c>
      <c r="AY105" s="294">
        <v>69692.11</v>
      </c>
      <c r="AZ105" s="294">
        <v>72200.816249999989</v>
      </c>
      <c r="BA105" s="294">
        <v>169044.54</v>
      </c>
      <c r="BB105" s="294">
        <v>0</v>
      </c>
      <c r="BC105" s="294">
        <v>0</v>
      </c>
      <c r="BD105" s="294">
        <v>0</v>
      </c>
      <c r="BE105" s="294">
        <v>2610082.2879166668</v>
      </c>
      <c r="BF105" s="294">
        <v>255150.15999999963</v>
      </c>
      <c r="BG105" s="294">
        <v>-41630.3279166664</v>
      </c>
      <c r="BH105" s="294">
        <v>213519.83208333323</v>
      </c>
      <c r="BI105" s="294">
        <v>8072.5</v>
      </c>
      <c r="BJ105" s="294">
        <v>0</v>
      </c>
      <c r="BK105" s="294">
        <v>0</v>
      </c>
      <c r="BL105" s="294">
        <v>8072.5</v>
      </c>
      <c r="BM105" s="294">
        <v>0</v>
      </c>
      <c r="BN105" s="294">
        <v>0</v>
      </c>
      <c r="BO105" s="294">
        <v>0</v>
      </c>
      <c r="BP105" s="294">
        <v>3472.72</v>
      </c>
      <c r="BQ105" s="294">
        <v>3472.72</v>
      </c>
      <c r="BR105" s="294">
        <v>71566.59</v>
      </c>
      <c r="BS105" s="294">
        <v>4599.7800000000007</v>
      </c>
      <c r="BT105" s="294">
        <v>76166.37</v>
      </c>
      <c r="BU105" s="294">
        <v>0</v>
      </c>
      <c r="BV105" s="294">
        <v>0</v>
      </c>
      <c r="BW105" s="294">
        <v>0</v>
      </c>
      <c r="BX105" s="294">
        <v>0</v>
      </c>
      <c r="BY105" s="294">
        <v>0</v>
      </c>
      <c r="BZ105" s="294">
        <v>0</v>
      </c>
      <c r="CA105" s="294">
        <v>0</v>
      </c>
      <c r="CB105" s="294">
        <v>0</v>
      </c>
      <c r="CC105" s="294">
        <v>0</v>
      </c>
      <c r="CD105" s="294">
        <v>213519.83208333323</v>
      </c>
      <c r="CE105" s="294">
        <v>0</v>
      </c>
      <c r="CF105" s="294">
        <v>76166.37</v>
      </c>
      <c r="CG105" s="294">
        <v>0</v>
      </c>
      <c r="CH105" s="294">
        <v>0</v>
      </c>
      <c r="CI105" s="294">
        <f t="shared" si="1"/>
        <v>289686.20208333322</v>
      </c>
      <c r="CJ105" s="294">
        <v>404045.9</v>
      </c>
      <c r="CK105" s="294">
        <v>20443.53</v>
      </c>
      <c r="CL105" s="294">
        <v>7564.92</v>
      </c>
      <c r="CM105" s="294">
        <v>391167.29</v>
      </c>
      <c r="CN105" s="294">
        <v>0</v>
      </c>
      <c r="CO105" s="294">
        <v>0</v>
      </c>
      <c r="CP105" s="294">
        <v>7366.95</v>
      </c>
      <c r="CQ105" s="294">
        <v>41695.26</v>
      </c>
      <c r="CR105" s="294">
        <v>0</v>
      </c>
      <c r="CS105" s="294">
        <v>440229.5</v>
      </c>
      <c r="CT105" s="294">
        <v>79.37</v>
      </c>
      <c r="CU105" s="294">
        <v>0</v>
      </c>
      <c r="CV105" s="294">
        <v>0</v>
      </c>
      <c r="CW105" s="294">
        <v>79.37</v>
      </c>
      <c r="CX105" s="294"/>
      <c r="CY105" s="294"/>
      <c r="CZ105" s="294"/>
      <c r="DA105" s="294">
        <v>0</v>
      </c>
      <c r="DB105" s="294">
        <v>79.37</v>
      </c>
      <c r="DC105" s="294">
        <v>0</v>
      </c>
      <c r="DD105" s="294">
        <v>1988.33</v>
      </c>
      <c r="DE105" s="294">
        <v>9567.9599999999991</v>
      </c>
      <c r="DF105" s="294">
        <v>0</v>
      </c>
      <c r="DG105" s="294">
        <v>-9240.6200000000008</v>
      </c>
      <c r="DH105" s="294">
        <v>0</v>
      </c>
      <c r="DI105" s="294">
        <v>0</v>
      </c>
      <c r="DJ105" s="294">
        <v>0</v>
      </c>
      <c r="DK105" s="294">
        <v>2315.6699999999983</v>
      </c>
      <c r="DL105" s="294">
        <v>0</v>
      </c>
      <c r="DM105" s="294">
        <v>0</v>
      </c>
      <c r="DN105" s="294">
        <v>0</v>
      </c>
      <c r="DO105" s="294">
        <v>-152938.54</v>
      </c>
      <c r="DP105" s="294">
        <v>0</v>
      </c>
      <c r="DQ105" s="324"/>
      <c r="DR105" s="295">
        <v>1828136.14</v>
      </c>
      <c r="DS105" s="325">
        <v>781946.14791666693</v>
      </c>
      <c r="DT105" s="295">
        <v>69692.11</v>
      </c>
      <c r="DU105" s="295">
        <v>167225.24</v>
      </c>
      <c r="DV105" s="295">
        <v>0</v>
      </c>
      <c r="DW105" s="295">
        <v>-152938.54</v>
      </c>
    </row>
    <row r="106" spans="1:127">
      <c r="A106" s="321">
        <v>2420</v>
      </c>
      <c r="B106" s="322" t="s">
        <v>501</v>
      </c>
      <c r="C106" s="321">
        <v>2420</v>
      </c>
      <c r="D106" s="323" t="s">
        <v>817</v>
      </c>
      <c r="E106" s="323" t="s">
        <v>539</v>
      </c>
      <c r="F106" s="323" t="s">
        <v>818</v>
      </c>
      <c r="G106" s="323" t="s">
        <v>537</v>
      </c>
      <c r="H106" s="294">
        <v>2053237</v>
      </c>
      <c r="I106" s="294">
        <v>0</v>
      </c>
      <c r="J106" s="294">
        <v>86104</v>
      </c>
      <c r="K106" s="294">
        <v>0</v>
      </c>
      <c r="L106" s="294">
        <v>40450</v>
      </c>
      <c r="M106" s="294">
        <v>4714</v>
      </c>
      <c r="N106" s="294">
        <v>0</v>
      </c>
      <c r="O106" s="294">
        <v>0</v>
      </c>
      <c r="P106" s="294">
        <v>72953</v>
      </c>
      <c r="Q106" s="294">
        <v>0</v>
      </c>
      <c r="R106" s="294">
        <v>0</v>
      </c>
      <c r="S106" s="294">
        <v>0</v>
      </c>
      <c r="T106" s="294">
        <v>242064</v>
      </c>
      <c r="U106" s="294">
        <v>0</v>
      </c>
      <c r="V106" s="294">
        <v>0</v>
      </c>
      <c r="W106" s="294">
        <v>629</v>
      </c>
      <c r="X106" s="294">
        <v>99795</v>
      </c>
      <c r="Y106" s="294">
        <v>2599946</v>
      </c>
      <c r="Z106" s="294">
        <v>1003410</v>
      </c>
      <c r="AA106" s="294">
        <v>4363</v>
      </c>
      <c r="AB106" s="294">
        <v>2522</v>
      </c>
      <c r="AC106" s="294">
        <v>382136</v>
      </c>
      <c r="AD106" s="294">
        <v>406</v>
      </c>
      <c r="AE106" s="294">
        <v>0</v>
      </c>
      <c r="AF106" s="294">
        <v>537381</v>
      </c>
      <c r="AG106" s="294">
        <v>26945</v>
      </c>
      <c r="AH106" s="294">
        <v>1289</v>
      </c>
      <c r="AI106" s="294">
        <v>0</v>
      </c>
      <c r="AJ106" s="294">
        <v>0</v>
      </c>
      <c r="AK106" s="294">
        <v>6016</v>
      </c>
      <c r="AL106" s="294">
        <v>0</v>
      </c>
      <c r="AM106" s="294">
        <v>0</v>
      </c>
      <c r="AN106" s="294">
        <v>0</v>
      </c>
      <c r="AO106" s="294">
        <v>39291</v>
      </c>
      <c r="AP106" s="294">
        <v>24536</v>
      </c>
      <c r="AQ106" s="294">
        <v>3058</v>
      </c>
      <c r="AR106" s="294">
        <v>599122</v>
      </c>
      <c r="AS106" s="294">
        <v>97</v>
      </c>
      <c r="AT106" s="294">
        <v>0</v>
      </c>
      <c r="AU106" s="294">
        <v>4594</v>
      </c>
      <c r="AV106" s="294">
        <v>9471</v>
      </c>
      <c r="AW106" s="294">
        <v>0</v>
      </c>
      <c r="AX106" s="294">
        <v>-7157</v>
      </c>
      <c r="AY106" s="294">
        <v>-5640</v>
      </c>
      <c r="AZ106" s="294">
        <v>10479</v>
      </c>
      <c r="BA106" s="294">
        <v>56968</v>
      </c>
      <c r="BB106" s="294">
        <v>0</v>
      </c>
      <c r="BC106" s="294">
        <v>0</v>
      </c>
      <c r="BD106" s="294">
        <v>0</v>
      </c>
      <c r="BE106" s="294">
        <v>2699287</v>
      </c>
      <c r="BF106" s="294">
        <v>384081</v>
      </c>
      <c r="BG106" s="294">
        <v>-99341</v>
      </c>
      <c r="BH106" s="294">
        <v>284740</v>
      </c>
      <c r="BI106" s="294">
        <v>14770</v>
      </c>
      <c r="BJ106" s="294">
        <v>0</v>
      </c>
      <c r="BK106" s="294">
        <v>0</v>
      </c>
      <c r="BL106" s="294">
        <v>14770</v>
      </c>
      <c r="BM106" s="294">
        <v>0</v>
      </c>
      <c r="BN106" s="294">
        <v>29935</v>
      </c>
      <c r="BO106" s="294">
        <v>0</v>
      </c>
      <c r="BP106" s="294">
        <v>0</v>
      </c>
      <c r="BQ106" s="294">
        <v>29935</v>
      </c>
      <c r="BR106" s="294">
        <v>22179</v>
      </c>
      <c r="BS106" s="294">
        <v>-15165</v>
      </c>
      <c r="BT106" s="294">
        <v>7014</v>
      </c>
      <c r="BU106" s="294">
        <v>0</v>
      </c>
      <c r="BV106" s="294">
        <v>0</v>
      </c>
      <c r="BW106" s="294">
        <v>0</v>
      </c>
      <c r="BX106" s="294">
        <v>0</v>
      </c>
      <c r="BY106" s="294">
        <v>0</v>
      </c>
      <c r="BZ106" s="294">
        <v>0</v>
      </c>
      <c r="CA106" s="294">
        <v>0</v>
      </c>
      <c r="CB106" s="294">
        <v>0</v>
      </c>
      <c r="CC106" s="294">
        <v>0</v>
      </c>
      <c r="CD106" s="294">
        <v>284740</v>
      </c>
      <c r="CE106" s="294">
        <v>0</v>
      </c>
      <c r="CF106" s="294">
        <v>7014</v>
      </c>
      <c r="CG106" s="294">
        <v>0</v>
      </c>
      <c r="CH106" s="294">
        <v>0</v>
      </c>
      <c r="CI106" s="294">
        <f t="shared" si="1"/>
        <v>291754</v>
      </c>
      <c r="CJ106" s="294">
        <v>622136</v>
      </c>
      <c r="CK106" s="294">
        <v>0</v>
      </c>
      <c r="CL106" s="294">
        <v>0</v>
      </c>
      <c r="CM106" s="294">
        <v>622136</v>
      </c>
      <c r="CN106" s="294">
        <v>0</v>
      </c>
      <c r="CO106" s="294">
        <v>0</v>
      </c>
      <c r="CP106" s="294">
        <v>11088</v>
      </c>
      <c r="CQ106" s="294">
        <v>0</v>
      </c>
      <c r="CR106" s="294">
        <v>-353158</v>
      </c>
      <c r="CS106" s="294">
        <v>280066</v>
      </c>
      <c r="CT106" s="294">
        <v>0</v>
      </c>
      <c r="CU106" s="294">
        <v>0</v>
      </c>
      <c r="CV106" s="294">
        <v>0</v>
      </c>
      <c r="CW106" s="294">
        <v>0</v>
      </c>
      <c r="CX106" s="294"/>
      <c r="CY106" s="294"/>
      <c r="CZ106" s="294"/>
      <c r="DA106" s="294">
        <v>0</v>
      </c>
      <c r="DB106" s="294">
        <v>0</v>
      </c>
      <c r="DC106" s="294">
        <v>0</v>
      </c>
      <c r="DD106" s="294">
        <v>11919</v>
      </c>
      <c r="DE106" s="294">
        <v>0</v>
      </c>
      <c r="DF106" s="294">
        <v>0</v>
      </c>
      <c r="DG106" s="294">
        <v>0</v>
      </c>
      <c r="DH106" s="294">
        <v>-231</v>
      </c>
      <c r="DI106" s="294">
        <v>0</v>
      </c>
      <c r="DJ106" s="294">
        <v>0</v>
      </c>
      <c r="DK106" s="294">
        <v>11688</v>
      </c>
      <c r="DL106" s="294">
        <v>0</v>
      </c>
      <c r="DM106" s="294">
        <v>0</v>
      </c>
      <c r="DN106" s="294">
        <v>0</v>
      </c>
      <c r="DO106" s="294">
        <v>0</v>
      </c>
      <c r="DP106" s="294">
        <v>0</v>
      </c>
      <c r="DQ106" s="324">
        <v>-0.01</v>
      </c>
      <c r="DR106" s="295">
        <v>1957163</v>
      </c>
      <c r="DS106" s="325">
        <v>742124</v>
      </c>
      <c r="DT106" s="295">
        <v>-5640</v>
      </c>
      <c r="DU106" s="295">
        <v>315017</v>
      </c>
      <c r="DV106" s="295">
        <v>0</v>
      </c>
      <c r="DW106" s="295">
        <v>0</v>
      </c>
    </row>
    <row r="107" spans="1:127">
      <c r="A107" s="321">
        <v>2004</v>
      </c>
      <c r="B107" s="322" t="s">
        <v>435</v>
      </c>
      <c r="C107" s="321">
        <v>2004</v>
      </c>
      <c r="D107" s="323" t="s">
        <v>817</v>
      </c>
      <c r="E107" s="323" t="s">
        <v>539</v>
      </c>
      <c r="F107" s="323" t="s">
        <v>818</v>
      </c>
      <c r="G107" s="323" t="s">
        <v>800</v>
      </c>
      <c r="H107" s="294">
        <v>1844309.44</v>
      </c>
      <c r="I107" s="294">
        <v>0</v>
      </c>
      <c r="J107" s="294">
        <v>47170.89</v>
      </c>
      <c r="K107" s="294">
        <v>0</v>
      </c>
      <c r="L107" s="294">
        <v>199410</v>
      </c>
      <c r="M107" s="294">
        <v>400</v>
      </c>
      <c r="N107" s="294">
        <v>0</v>
      </c>
      <c r="O107" s="294">
        <v>0</v>
      </c>
      <c r="P107" s="294">
        <v>44423.140000000014</v>
      </c>
      <c r="Q107" s="294">
        <v>28528.31</v>
      </c>
      <c r="R107" s="294">
        <v>0</v>
      </c>
      <c r="S107" s="294">
        <v>0</v>
      </c>
      <c r="T107" s="294">
        <v>2.4700000000000002</v>
      </c>
      <c r="U107" s="294">
        <v>0</v>
      </c>
      <c r="V107" s="294">
        <v>0</v>
      </c>
      <c r="W107" s="294">
        <v>10910.75</v>
      </c>
      <c r="X107" s="294">
        <v>56325</v>
      </c>
      <c r="Y107" s="294">
        <v>2231480</v>
      </c>
      <c r="Z107" s="294">
        <v>1064714.4999999993</v>
      </c>
      <c r="AA107" s="294">
        <v>1438.15</v>
      </c>
      <c r="AB107" s="294">
        <v>-359.91</v>
      </c>
      <c r="AC107" s="294">
        <v>422938.86000000057</v>
      </c>
      <c r="AD107" s="294">
        <v>2414.1699999999992</v>
      </c>
      <c r="AE107" s="294">
        <v>0</v>
      </c>
      <c r="AF107" s="294">
        <v>231443.37999999977</v>
      </c>
      <c r="AG107" s="294">
        <v>14825.449999999997</v>
      </c>
      <c r="AH107" s="294">
        <v>2566</v>
      </c>
      <c r="AI107" s="294">
        <v>0</v>
      </c>
      <c r="AJ107" s="294">
        <v>0</v>
      </c>
      <c r="AK107" s="294">
        <v>18766.519999999997</v>
      </c>
      <c r="AL107" s="294">
        <v>0</v>
      </c>
      <c r="AM107" s="294">
        <v>18593.060000000001</v>
      </c>
      <c r="AN107" s="294">
        <v>4411.5000000000009</v>
      </c>
      <c r="AO107" s="294">
        <v>51619.37000000001</v>
      </c>
      <c r="AP107" s="294">
        <v>23631.7</v>
      </c>
      <c r="AQ107" s="294">
        <v>6639.4</v>
      </c>
      <c r="AR107" s="294">
        <v>39507.210000000006</v>
      </c>
      <c r="AS107" s="294">
        <v>564</v>
      </c>
      <c r="AT107" s="294">
        <v>24.04</v>
      </c>
      <c r="AU107" s="294">
        <v>9362.91</v>
      </c>
      <c r="AV107" s="294">
        <v>9471</v>
      </c>
      <c r="AW107" s="294">
        <v>4715</v>
      </c>
      <c r="AX107" s="294">
        <v>108676.65</v>
      </c>
      <c r="AY107" s="294">
        <v>67025.709999999992</v>
      </c>
      <c r="AZ107" s="294">
        <v>7821.84</v>
      </c>
      <c r="BA107" s="294">
        <v>159733.11999999997</v>
      </c>
      <c r="BB107" s="294">
        <v>0</v>
      </c>
      <c r="BC107" s="294">
        <v>0</v>
      </c>
      <c r="BD107" s="294">
        <v>0</v>
      </c>
      <c r="BE107" s="294">
        <v>2270543.6299999994</v>
      </c>
      <c r="BF107" s="294">
        <v>-22083.420000000362</v>
      </c>
      <c r="BG107" s="294">
        <v>-39063.629999999423</v>
      </c>
      <c r="BH107" s="294">
        <v>-61147.049999999785</v>
      </c>
      <c r="BI107" s="294">
        <v>7672</v>
      </c>
      <c r="BJ107" s="294">
        <v>0</v>
      </c>
      <c r="BK107" s="294">
        <v>0</v>
      </c>
      <c r="BL107" s="294">
        <v>7672</v>
      </c>
      <c r="BM107" s="294">
        <v>0</v>
      </c>
      <c r="BN107" s="294">
        <v>24023.279999999999</v>
      </c>
      <c r="BO107" s="294">
        <v>0</v>
      </c>
      <c r="BP107" s="294">
        <v>0</v>
      </c>
      <c r="BQ107" s="294">
        <v>24023.279999999999</v>
      </c>
      <c r="BR107" s="294">
        <v>55361.9</v>
      </c>
      <c r="BS107" s="294">
        <v>-16351.279999999999</v>
      </c>
      <c r="BT107" s="294">
        <v>39010.620000000003</v>
      </c>
      <c r="BU107" s="294">
        <v>0</v>
      </c>
      <c r="BV107" s="294">
        <v>0</v>
      </c>
      <c r="BW107" s="294">
        <v>0</v>
      </c>
      <c r="BX107" s="294">
        <v>0</v>
      </c>
      <c r="BY107" s="294">
        <v>0</v>
      </c>
      <c r="BZ107" s="294">
        <v>0</v>
      </c>
      <c r="CA107" s="294">
        <v>0</v>
      </c>
      <c r="CB107" s="294">
        <v>0</v>
      </c>
      <c r="CC107" s="294">
        <v>0</v>
      </c>
      <c r="CD107" s="294">
        <v>-61147.049999999785</v>
      </c>
      <c r="CE107" s="294">
        <v>0</v>
      </c>
      <c r="CF107" s="294">
        <v>39010.620000000003</v>
      </c>
      <c r="CG107" s="294">
        <v>0</v>
      </c>
      <c r="CH107" s="294">
        <v>0</v>
      </c>
      <c r="CI107" s="294">
        <f t="shared" si="1"/>
        <v>-22136.429999999782</v>
      </c>
      <c r="CJ107" s="294">
        <v>0</v>
      </c>
      <c r="CK107" s="294">
        <v>0</v>
      </c>
      <c r="CL107" s="294">
        <v>0</v>
      </c>
      <c r="CM107" s="294">
        <v>0</v>
      </c>
      <c r="CN107" s="294">
        <v>0</v>
      </c>
      <c r="CO107" s="294">
        <v>0</v>
      </c>
      <c r="CP107" s="294">
        <v>0</v>
      </c>
      <c r="CQ107" s="294">
        <v>0</v>
      </c>
      <c r="CR107" s="294">
        <v>0</v>
      </c>
      <c r="CS107" s="294">
        <v>0</v>
      </c>
      <c r="CT107" s="294">
        <v>0</v>
      </c>
      <c r="CU107" s="294">
        <v>0</v>
      </c>
      <c r="CV107" s="294">
        <v>0</v>
      </c>
      <c r="CW107" s="294">
        <v>0</v>
      </c>
      <c r="CX107" s="294"/>
      <c r="CY107" s="294"/>
      <c r="CZ107" s="294"/>
      <c r="DA107" s="294">
        <v>15450.750000000051</v>
      </c>
      <c r="DB107" s="294">
        <v>15450.750000000051</v>
      </c>
      <c r="DC107" s="294">
        <v>0</v>
      </c>
      <c r="DD107" s="294">
        <v>411.14</v>
      </c>
      <c r="DE107" s="294">
        <v>0</v>
      </c>
      <c r="DF107" s="294">
        <v>0</v>
      </c>
      <c r="DG107" s="294">
        <v>0</v>
      </c>
      <c r="DH107" s="294">
        <v>-37998.32</v>
      </c>
      <c r="DI107" s="294">
        <v>0</v>
      </c>
      <c r="DJ107" s="294">
        <v>0</v>
      </c>
      <c r="DK107" s="294">
        <v>-37587.18</v>
      </c>
      <c r="DL107" s="294">
        <v>0</v>
      </c>
      <c r="DM107" s="294">
        <v>0</v>
      </c>
      <c r="DN107" s="294">
        <v>0</v>
      </c>
      <c r="DO107" s="294">
        <v>0</v>
      </c>
      <c r="DP107" s="294">
        <v>0</v>
      </c>
      <c r="DQ107" s="324">
        <v>-4.7293724492192268E-11</v>
      </c>
      <c r="DR107" s="295">
        <v>1737414.5999999994</v>
      </c>
      <c r="DS107" s="325">
        <v>533129.03</v>
      </c>
      <c r="DT107" s="295">
        <v>67025.709999999992</v>
      </c>
      <c r="DU107" s="295">
        <v>72953.920000000013</v>
      </c>
      <c r="DV107" s="295">
        <v>0</v>
      </c>
      <c r="DW107" s="295">
        <v>0</v>
      </c>
    </row>
    <row r="108" spans="1:127">
      <c r="A108" s="321">
        <v>1012</v>
      </c>
      <c r="B108" s="322" t="s">
        <v>436</v>
      </c>
      <c r="C108" s="321">
        <v>1012</v>
      </c>
      <c r="D108" s="323" t="s">
        <v>817</v>
      </c>
      <c r="E108" s="323" t="s">
        <v>536</v>
      </c>
      <c r="F108" s="323" t="s">
        <v>818</v>
      </c>
      <c r="G108" s="323" t="s">
        <v>537</v>
      </c>
      <c r="H108" s="294">
        <v>809668.15</v>
      </c>
      <c r="I108" s="294">
        <v>0</v>
      </c>
      <c r="J108" s="294">
        <v>15378.33</v>
      </c>
      <c r="K108" s="294">
        <v>0</v>
      </c>
      <c r="L108" s="294">
        <v>0</v>
      </c>
      <c r="M108" s="294">
        <v>-900</v>
      </c>
      <c r="N108" s="294">
        <v>0</v>
      </c>
      <c r="O108" s="294">
        <v>0</v>
      </c>
      <c r="P108" s="294">
        <v>11635.62</v>
      </c>
      <c r="Q108" s="294">
        <v>0</v>
      </c>
      <c r="R108" s="294">
        <v>0</v>
      </c>
      <c r="S108" s="294">
        <v>0</v>
      </c>
      <c r="T108" s="294">
        <v>1640</v>
      </c>
      <c r="U108" s="294">
        <v>15000</v>
      </c>
      <c r="V108" s="294">
        <v>0</v>
      </c>
      <c r="W108" s="294">
        <v>0</v>
      </c>
      <c r="X108" s="294">
        <v>0</v>
      </c>
      <c r="Y108" s="294">
        <v>852422.1</v>
      </c>
      <c r="Z108" s="294">
        <v>326144.79000000027</v>
      </c>
      <c r="AA108" s="294">
        <v>0</v>
      </c>
      <c r="AB108" s="294">
        <v>181092.99000000002</v>
      </c>
      <c r="AC108" s="294">
        <v>0</v>
      </c>
      <c r="AD108" s="294">
        <v>30457.62</v>
      </c>
      <c r="AE108" s="294">
        <v>0</v>
      </c>
      <c r="AF108" s="294">
        <v>0</v>
      </c>
      <c r="AG108" s="294">
        <v>78.040000000003602</v>
      </c>
      <c r="AH108" s="294">
        <v>199.5</v>
      </c>
      <c r="AI108" s="294">
        <v>0</v>
      </c>
      <c r="AJ108" s="294">
        <v>0</v>
      </c>
      <c r="AK108" s="294">
        <v>35649.279999999999</v>
      </c>
      <c r="AL108" s="294">
        <v>2225</v>
      </c>
      <c r="AM108" s="294">
        <v>1485.35</v>
      </c>
      <c r="AN108" s="294">
        <v>2304.84</v>
      </c>
      <c r="AO108" s="294">
        <v>9525.7099999999991</v>
      </c>
      <c r="AP108" s="294">
        <v>0</v>
      </c>
      <c r="AQ108" s="294">
        <v>0</v>
      </c>
      <c r="AR108" s="294">
        <v>70369.600000000006</v>
      </c>
      <c r="AS108" s="294">
        <v>15</v>
      </c>
      <c r="AT108" s="294">
        <v>0</v>
      </c>
      <c r="AU108" s="294">
        <v>3193.119999999999</v>
      </c>
      <c r="AV108" s="294">
        <v>3291.75</v>
      </c>
      <c r="AW108" s="294">
        <v>0</v>
      </c>
      <c r="AX108" s="294">
        <v>6516.75</v>
      </c>
      <c r="AY108" s="294">
        <v>1555</v>
      </c>
      <c r="AZ108" s="294">
        <v>0</v>
      </c>
      <c r="BA108" s="294">
        <v>20731.979999999996</v>
      </c>
      <c r="BB108" s="294">
        <v>0</v>
      </c>
      <c r="BC108" s="294">
        <v>0</v>
      </c>
      <c r="BD108" s="294">
        <v>0</v>
      </c>
      <c r="BE108" s="294">
        <v>694836.32000000018</v>
      </c>
      <c r="BF108" s="294">
        <v>338021.99999999994</v>
      </c>
      <c r="BG108" s="294">
        <v>157585.7799999998</v>
      </c>
      <c r="BH108" s="294">
        <v>495607.77999999974</v>
      </c>
      <c r="BI108" s="294">
        <v>4945</v>
      </c>
      <c r="BJ108" s="294">
        <v>0</v>
      </c>
      <c r="BK108" s="294">
        <v>0</v>
      </c>
      <c r="BL108" s="294">
        <v>4945</v>
      </c>
      <c r="BM108" s="294">
        <v>0</v>
      </c>
      <c r="BN108" s="294">
        <v>0</v>
      </c>
      <c r="BO108" s="294">
        <v>0</v>
      </c>
      <c r="BP108" s="294">
        <v>0</v>
      </c>
      <c r="BQ108" s="294">
        <v>0</v>
      </c>
      <c r="BR108" s="294">
        <v>40513.949999999997</v>
      </c>
      <c r="BS108" s="294">
        <v>4945</v>
      </c>
      <c r="BT108" s="294">
        <v>45458.95</v>
      </c>
      <c r="BU108" s="294">
        <v>0</v>
      </c>
      <c r="BV108" s="294">
        <v>0</v>
      </c>
      <c r="BW108" s="294">
        <v>0</v>
      </c>
      <c r="BX108" s="294">
        <v>0</v>
      </c>
      <c r="BY108" s="294">
        <v>0</v>
      </c>
      <c r="BZ108" s="294">
        <v>0</v>
      </c>
      <c r="CA108" s="294">
        <v>0</v>
      </c>
      <c r="CB108" s="294">
        <v>0</v>
      </c>
      <c r="CC108" s="294">
        <v>0</v>
      </c>
      <c r="CD108" s="294">
        <v>495607.77999999974</v>
      </c>
      <c r="CE108" s="294">
        <v>0</v>
      </c>
      <c r="CF108" s="294">
        <v>45458.95</v>
      </c>
      <c r="CG108" s="294">
        <v>0</v>
      </c>
      <c r="CH108" s="294">
        <v>0</v>
      </c>
      <c r="CI108" s="294">
        <f t="shared" si="1"/>
        <v>541066.72999999975</v>
      </c>
      <c r="CJ108" s="294">
        <v>10368</v>
      </c>
      <c r="CK108" s="294">
        <v>0</v>
      </c>
      <c r="CL108" s="294">
        <v>0</v>
      </c>
      <c r="CM108" s="294">
        <v>10368</v>
      </c>
      <c r="CN108" s="294">
        <v>0</v>
      </c>
      <c r="CO108" s="294">
        <v>0</v>
      </c>
      <c r="CP108" s="294">
        <v>4191.83</v>
      </c>
      <c r="CQ108" s="294">
        <v>0</v>
      </c>
      <c r="CR108" s="294">
        <v>522472</v>
      </c>
      <c r="CS108" s="294">
        <v>537031.82999999996</v>
      </c>
      <c r="CT108" s="294">
        <v>0</v>
      </c>
      <c r="CU108" s="294">
        <v>0</v>
      </c>
      <c r="CV108" s="294">
        <v>0</v>
      </c>
      <c r="CW108" s="294">
        <v>0</v>
      </c>
      <c r="CX108" s="294"/>
      <c r="CY108" s="294"/>
      <c r="CZ108" s="294"/>
      <c r="DA108" s="294">
        <v>0</v>
      </c>
      <c r="DB108" s="294">
        <v>0</v>
      </c>
      <c r="DC108" s="294">
        <v>0</v>
      </c>
      <c r="DD108" s="294">
        <v>10405.620000000001</v>
      </c>
      <c r="DE108" s="294">
        <v>0</v>
      </c>
      <c r="DF108" s="294">
        <v>0</v>
      </c>
      <c r="DG108" s="294">
        <v>0</v>
      </c>
      <c r="DH108" s="294">
        <v>-6370.25</v>
      </c>
      <c r="DI108" s="294">
        <v>0</v>
      </c>
      <c r="DJ108" s="294">
        <v>0</v>
      </c>
      <c r="DK108" s="294">
        <v>4035.3700000000008</v>
      </c>
      <c r="DL108" s="294">
        <v>0</v>
      </c>
      <c r="DM108" s="294">
        <v>0</v>
      </c>
      <c r="DN108" s="294">
        <v>0</v>
      </c>
      <c r="DO108" s="294">
        <v>0</v>
      </c>
      <c r="DP108" s="294">
        <v>0</v>
      </c>
      <c r="DQ108" s="324">
        <v>-0.46999999997206032</v>
      </c>
      <c r="DR108" s="295">
        <v>537773.44000000029</v>
      </c>
      <c r="DS108" s="325">
        <v>157062.87999999989</v>
      </c>
      <c r="DT108" s="295">
        <v>1555</v>
      </c>
      <c r="DU108" s="295">
        <v>13275.62</v>
      </c>
      <c r="DV108" s="295">
        <v>15000</v>
      </c>
      <c r="DW108" s="295">
        <v>0</v>
      </c>
    </row>
    <row r="109" spans="1:127">
      <c r="A109" s="321">
        <v>2133</v>
      </c>
      <c r="B109" s="322" t="s">
        <v>362</v>
      </c>
      <c r="C109" s="321">
        <v>2133</v>
      </c>
      <c r="D109" s="323" t="s">
        <v>817</v>
      </c>
      <c r="E109" s="323" t="s">
        <v>539</v>
      </c>
      <c r="F109" s="323" t="s">
        <v>818</v>
      </c>
      <c r="G109" s="323" t="s">
        <v>537</v>
      </c>
      <c r="H109" s="294">
        <v>2648134.11</v>
      </c>
      <c r="I109" s="294">
        <v>0</v>
      </c>
      <c r="J109" s="294">
        <v>110590.78</v>
      </c>
      <c r="K109" s="294">
        <v>0</v>
      </c>
      <c r="L109" s="294">
        <v>279170</v>
      </c>
      <c r="M109" s="294">
        <v>3742.08</v>
      </c>
      <c r="N109" s="294">
        <v>0</v>
      </c>
      <c r="O109" s="294">
        <v>0</v>
      </c>
      <c r="P109" s="294">
        <v>40900.67</v>
      </c>
      <c r="Q109" s="294">
        <v>21843.05</v>
      </c>
      <c r="R109" s="294">
        <v>0</v>
      </c>
      <c r="S109" s="294">
        <v>0</v>
      </c>
      <c r="T109" s="294">
        <v>14479</v>
      </c>
      <c r="U109" s="294">
        <v>0</v>
      </c>
      <c r="V109" s="294">
        <v>0</v>
      </c>
      <c r="W109" s="294">
        <v>396.88</v>
      </c>
      <c r="X109" s="294">
        <v>78004</v>
      </c>
      <c r="Y109" s="294">
        <v>3197260.5699999994</v>
      </c>
      <c r="Z109" s="294">
        <v>1113989.3400000001</v>
      </c>
      <c r="AA109" s="294">
        <v>22105.91</v>
      </c>
      <c r="AB109" s="294">
        <v>558546.55999999994</v>
      </c>
      <c r="AC109" s="294">
        <v>0</v>
      </c>
      <c r="AD109" s="294">
        <v>138905.38</v>
      </c>
      <c r="AE109" s="294">
        <v>81977.489999999991</v>
      </c>
      <c r="AF109" s="294">
        <v>103724.63</v>
      </c>
      <c r="AG109" s="294">
        <v>6321.23</v>
      </c>
      <c r="AH109" s="294">
        <v>4865</v>
      </c>
      <c r="AI109" s="294">
        <v>0</v>
      </c>
      <c r="AJ109" s="294">
        <v>0</v>
      </c>
      <c r="AK109" s="294">
        <v>70774.8</v>
      </c>
      <c r="AL109" s="294">
        <v>0</v>
      </c>
      <c r="AM109" s="294">
        <v>0</v>
      </c>
      <c r="AN109" s="294">
        <v>12657.8</v>
      </c>
      <c r="AO109" s="294">
        <v>65861.64</v>
      </c>
      <c r="AP109" s="294">
        <v>46374.720000000001</v>
      </c>
      <c r="AQ109" s="294">
        <v>13257.369999999999</v>
      </c>
      <c r="AR109" s="294">
        <v>99917.39</v>
      </c>
      <c r="AS109" s="294">
        <v>55481.939999999995</v>
      </c>
      <c r="AT109" s="294">
        <v>0</v>
      </c>
      <c r="AU109" s="294">
        <v>26424.010000000002</v>
      </c>
      <c r="AV109" s="294">
        <v>9471</v>
      </c>
      <c r="AW109" s="294">
        <v>13042.869999999999</v>
      </c>
      <c r="AX109" s="294">
        <v>60833.86</v>
      </c>
      <c r="AY109" s="294">
        <v>207101.17</v>
      </c>
      <c r="AZ109" s="294">
        <v>10479.26</v>
      </c>
      <c r="BA109" s="294">
        <v>81264.689999999988</v>
      </c>
      <c r="BB109" s="294">
        <v>427773</v>
      </c>
      <c r="BC109" s="294">
        <v>0</v>
      </c>
      <c r="BD109" s="294">
        <v>0</v>
      </c>
      <c r="BE109" s="294">
        <v>3231151.0599999996</v>
      </c>
      <c r="BF109" s="294">
        <v>385719.86999999994</v>
      </c>
      <c r="BG109" s="294">
        <v>-33890.490000000224</v>
      </c>
      <c r="BH109" s="294">
        <v>351829.37999999971</v>
      </c>
      <c r="BI109" s="294">
        <v>8702.5</v>
      </c>
      <c r="BJ109" s="294">
        <v>0</v>
      </c>
      <c r="BK109" s="294">
        <v>0</v>
      </c>
      <c r="BL109" s="294">
        <v>8702.5</v>
      </c>
      <c r="BM109" s="294">
        <v>0</v>
      </c>
      <c r="BN109" s="294">
        <v>0</v>
      </c>
      <c r="BO109" s="294">
        <v>0</v>
      </c>
      <c r="BP109" s="294">
        <v>0</v>
      </c>
      <c r="BQ109" s="294">
        <v>0</v>
      </c>
      <c r="BR109" s="294">
        <v>32161.299999999996</v>
      </c>
      <c r="BS109" s="294">
        <v>8702.5</v>
      </c>
      <c r="BT109" s="294">
        <v>40863.799999999996</v>
      </c>
      <c r="BU109" s="294">
        <v>0</v>
      </c>
      <c r="BV109" s="294">
        <v>0</v>
      </c>
      <c r="BW109" s="294">
        <v>0</v>
      </c>
      <c r="BX109" s="294">
        <v>0</v>
      </c>
      <c r="BY109" s="294">
        <v>0</v>
      </c>
      <c r="BZ109" s="294">
        <v>0</v>
      </c>
      <c r="CA109" s="294">
        <v>0</v>
      </c>
      <c r="CB109" s="294">
        <v>0</v>
      </c>
      <c r="CC109" s="294">
        <v>0</v>
      </c>
      <c r="CD109" s="294">
        <v>351829.37999999971</v>
      </c>
      <c r="CE109" s="294">
        <v>0</v>
      </c>
      <c r="CF109" s="294">
        <v>40863.799999999996</v>
      </c>
      <c r="CG109" s="294">
        <v>0</v>
      </c>
      <c r="CH109" s="294">
        <v>0</v>
      </c>
      <c r="CI109" s="294">
        <f t="shared" si="1"/>
        <v>392693.1799999997</v>
      </c>
      <c r="CJ109" s="294" t="s">
        <v>822</v>
      </c>
      <c r="CK109" s="294" t="s">
        <v>823</v>
      </c>
      <c r="CL109" s="294">
        <v>0</v>
      </c>
      <c r="CM109" s="294">
        <v>187692.48</v>
      </c>
      <c r="CN109" s="294">
        <v>0</v>
      </c>
      <c r="CO109" s="294">
        <v>0</v>
      </c>
      <c r="CP109" s="294">
        <v>-5630.46</v>
      </c>
      <c r="CQ109" s="294">
        <v>-6267.9299999999994</v>
      </c>
      <c r="CR109" s="294">
        <v>0</v>
      </c>
      <c r="CS109" s="294">
        <v>175794.09000000003</v>
      </c>
      <c r="CT109" s="294">
        <v>191225.16999999998</v>
      </c>
      <c r="CU109" s="294">
        <v>0</v>
      </c>
      <c r="CV109" s="294">
        <v>0</v>
      </c>
      <c r="CW109" s="294">
        <v>191225.16999999998</v>
      </c>
      <c r="CX109" s="294"/>
      <c r="CY109" s="294"/>
      <c r="CZ109" s="294"/>
      <c r="DA109" s="294">
        <v>0</v>
      </c>
      <c r="DB109" s="294">
        <v>191225.16999999998</v>
      </c>
      <c r="DC109" s="294">
        <v>0</v>
      </c>
      <c r="DD109" s="294">
        <v>0</v>
      </c>
      <c r="DE109" s="294">
        <v>0</v>
      </c>
      <c r="DF109" s="294">
        <v>0</v>
      </c>
      <c r="DG109" s="294">
        <v>-15323.65</v>
      </c>
      <c r="DH109" s="294">
        <v>-130.9</v>
      </c>
      <c r="DI109" s="294">
        <v>0</v>
      </c>
      <c r="DJ109" s="294">
        <v>0</v>
      </c>
      <c r="DK109" s="294">
        <v>-15454.55</v>
      </c>
      <c r="DL109" s="294">
        <v>-33687.75</v>
      </c>
      <c r="DM109" s="294">
        <v>78447</v>
      </c>
      <c r="DN109" s="294">
        <v>-2148.89</v>
      </c>
      <c r="DO109" s="294">
        <v>-1482</v>
      </c>
      <c r="DP109" s="294">
        <v>0</v>
      </c>
      <c r="DQ109" s="324">
        <v>0.10999999998603016</v>
      </c>
      <c r="DR109" s="295">
        <v>2025570.54</v>
      </c>
      <c r="DS109" s="325">
        <v>1205580.5199999996</v>
      </c>
      <c r="DT109" s="295">
        <v>207101.17</v>
      </c>
      <c r="DU109" s="295">
        <v>77222.720000000001</v>
      </c>
      <c r="DV109" s="295">
        <v>0</v>
      </c>
      <c r="DW109" s="295">
        <v>41128.36</v>
      </c>
    </row>
    <row r="110" spans="1:127">
      <c r="A110" s="321">
        <v>3322</v>
      </c>
      <c r="B110" s="322" t="s">
        <v>363</v>
      </c>
      <c r="C110" s="321">
        <v>3322</v>
      </c>
      <c r="D110" s="323" t="s">
        <v>817</v>
      </c>
      <c r="E110" s="323" t="s">
        <v>539</v>
      </c>
      <c r="F110" s="323" t="s">
        <v>818</v>
      </c>
      <c r="G110" s="323" t="s">
        <v>537</v>
      </c>
      <c r="H110" s="294">
        <v>1274646.1200000001</v>
      </c>
      <c r="I110" s="294">
        <v>0</v>
      </c>
      <c r="J110" s="294">
        <v>59817.93</v>
      </c>
      <c r="K110" s="294">
        <v>0</v>
      </c>
      <c r="L110" s="294">
        <v>111700</v>
      </c>
      <c r="M110" s="294">
        <v>771.29</v>
      </c>
      <c r="N110" s="294">
        <v>0</v>
      </c>
      <c r="O110" s="294">
        <v>0</v>
      </c>
      <c r="P110" s="294">
        <v>65523.47</v>
      </c>
      <c r="Q110" s="294">
        <v>7290.91</v>
      </c>
      <c r="R110" s="294">
        <v>0</v>
      </c>
      <c r="S110" s="294">
        <v>0</v>
      </c>
      <c r="T110" s="294">
        <v>10077.870000000001</v>
      </c>
      <c r="U110" s="294">
        <v>0</v>
      </c>
      <c r="V110" s="294">
        <v>0</v>
      </c>
      <c r="W110" s="294">
        <v>4707.5</v>
      </c>
      <c r="X110" s="294">
        <v>43152</v>
      </c>
      <c r="Y110" s="294">
        <v>1577687.09</v>
      </c>
      <c r="Z110" s="294">
        <v>645375.06000000006</v>
      </c>
      <c r="AA110" s="294">
        <v>0</v>
      </c>
      <c r="AB110" s="294">
        <v>294013.34000000003</v>
      </c>
      <c r="AC110" s="294">
        <v>44992.68</v>
      </c>
      <c r="AD110" s="294">
        <v>53910.69</v>
      </c>
      <c r="AE110" s="294">
        <v>0</v>
      </c>
      <c r="AF110" s="294">
        <v>43019.86</v>
      </c>
      <c r="AG110" s="294">
        <v>502.35</v>
      </c>
      <c r="AH110" s="294">
        <v>9093.2000000000007</v>
      </c>
      <c r="AI110" s="294">
        <v>0</v>
      </c>
      <c r="AJ110" s="294">
        <v>0</v>
      </c>
      <c r="AK110" s="294">
        <v>22872.68</v>
      </c>
      <c r="AL110" s="294">
        <v>526.24</v>
      </c>
      <c r="AM110" s="294">
        <v>3969.76</v>
      </c>
      <c r="AN110" s="294">
        <v>9486.15</v>
      </c>
      <c r="AO110" s="294">
        <v>16305.37</v>
      </c>
      <c r="AP110" s="294">
        <v>7944.8</v>
      </c>
      <c r="AQ110" s="294">
        <v>1583.4</v>
      </c>
      <c r="AR110" s="294">
        <v>43652.099999999817</v>
      </c>
      <c r="AS110" s="294">
        <v>12400.57</v>
      </c>
      <c r="AT110" s="294">
        <v>0</v>
      </c>
      <c r="AU110" s="294">
        <v>34050.58</v>
      </c>
      <c r="AV110" s="294">
        <v>10034.75</v>
      </c>
      <c r="AW110" s="294">
        <v>3677.5</v>
      </c>
      <c r="AX110" s="294">
        <v>155890.4</v>
      </c>
      <c r="AY110" s="294">
        <v>60112.94</v>
      </c>
      <c r="AZ110" s="294">
        <v>27487.519999999997</v>
      </c>
      <c r="BA110" s="294">
        <v>40839.300000000003</v>
      </c>
      <c r="BB110" s="294">
        <v>0</v>
      </c>
      <c r="BC110" s="294">
        <v>0</v>
      </c>
      <c r="BD110" s="294">
        <v>0</v>
      </c>
      <c r="BE110" s="294">
        <v>1541741.2400000002</v>
      </c>
      <c r="BF110" s="294">
        <v>28133.239999999845</v>
      </c>
      <c r="BG110" s="294">
        <v>35945.84999999986</v>
      </c>
      <c r="BH110" s="294">
        <v>64079.089999999705</v>
      </c>
      <c r="BI110" s="294">
        <v>0</v>
      </c>
      <c r="BJ110" s="294">
        <v>0</v>
      </c>
      <c r="BK110" s="294">
        <v>0</v>
      </c>
      <c r="BL110" s="294">
        <v>0</v>
      </c>
      <c r="BM110" s="294">
        <v>0</v>
      </c>
      <c r="BN110" s="294">
        <v>0</v>
      </c>
      <c r="BO110" s="294">
        <v>0</v>
      </c>
      <c r="BP110" s="294">
        <v>0</v>
      </c>
      <c r="BQ110" s="294">
        <v>0</v>
      </c>
      <c r="BR110" s="294">
        <v>13482.24</v>
      </c>
      <c r="BS110" s="294">
        <v>0</v>
      </c>
      <c r="BT110" s="294">
        <v>13482.24</v>
      </c>
      <c r="BU110" s="294">
        <v>0</v>
      </c>
      <c r="BV110" s="294">
        <v>0</v>
      </c>
      <c r="BW110" s="294">
        <v>0</v>
      </c>
      <c r="BX110" s="294">
        <v>0</v>
      </c>
      <c r="BY110" s="294">
        <v>0</v>
      </c>
      <c r="BZ110" s="294">
        <v>0</v>
      </c>
      <c r="CA110" s="294">
        <v>0</v>
      </c>
      <c r="CB110" s="294">
        <v>0</v>
      </c>
      <c r="CC110" s="294">
        <v>0</v>
      </c>
      <c r="CD110" s="294">
        <v>64079.089999999705</v>
      </c>
      <c r="CE110" s="294">
        <v>0</v>
      </c>
      <c r="CF110" s="294">
        <v>13482.24</v>
      </c>
      <c r="CG110" s="294">
        <v>0</v>
      </c>
      <c r="CH110" s="294">
        <v>0</v>
      </c>
      <c r="CI110" s="294">
        <f t="shared" si="1"/>
        <v>77561.329999999711</v>
      </c>
      <c r="CJ110" s="294">
        <v>206629.44</v>
      </c>
      <c r="CK110" s="294">
        <v>114781.45</v>
      </c>
      <c r="CL110" s="294">
        <v>997.84</v>
      </c>
      <c r="CM110" s="294">
        <v>92845.83</v>
      </c>
      <c r="CN110" s="294">
        <v>0</v>
      </c>
      <c r="CO110" s="294">
        <v>0</v>
      </c>
      <c r="CP110" s="294">
        <v>1640.23</v>
      </c>
      <c r="CQ110" s="294">
        <v>0</v>
      </c>
      <c r="CR110" s="294">
        <v>10646.51</v>
      </c>
      <c r="CS110" s="294">
        <v>105132.56999999999</v>
      </c>
      <c r="CT110" s="294">
        <v>0</v>
      </c>
      <c r="CU110" s="294">
        <v>0</v>
      </c>
      <c r="CV110" s="294">
        <v>0</v>
      </c>
      <c r="CW110" s="294">
        <v>0</v>
      </c>
      <c r="CX110" s="294"/>
      <c r="CY110" s="294"/>
      <c r="CZ110" s="294"/>
      <c r="DA110" s="294">
        <v>0</v>
      </c>
      <c r="DB110" s="294">
        <v>0</v>
      </c>
      <c r="DC110" s="294">
        <v>0</v>
      </c>
      <c r="DD110" s="294">
        <v>0</v>
      </c>
      <c r="DE110" s="294">
        <v>0</v>
      </c>
      <c r="DF110" s="294">
        <v>0</v>
      </c>
      <c r="DG110" s="294">
        <v>0</v>
      </c>
      <c r="DH110" s="294">
        <v>-27571.24</v>
      </c>
      <c r="DI110" s="294">
        <v>0</v>
      </c>
      <c r="DJ110" s="294">
        <v>0</v>
      </c>
      <c r="DK110" s="294">
        <v>-27571.24</v>
      </c>
      <c r="DL110" s="294">
        <v>0</v>
      </c>
      <c r="DM110" s="294">
        <v>0</v>
      </c>
      <c r="DN110" s="294">
        <v>0</v>
      </c>
      <c r="DO110" s="294">
        <v>0</v>
      </c>
      <c r="DP110" s="294">
        <v>0</v>
      </c>
      <c r="DQ110" s="324">
        <v>0</v>
      </c>
      <c r="DR110" s="295">
        <v>1081813.9800000004</v>
      </c>
      <c r="DS110" s="325">
        <v>459927.25999999978</v>
      </c>
      <c r="DT110" s="295">
        <v>60112.94</v>
      </c>
      <c r="DU110" s="295">
        <v>82892.25</v>
      </c>
      <c r="DV110" s="295">
        <v>0</v>
      </c>
      <c r="DW110" s="295">
        <v>0</v>
      </c>
    </row>
    <row r="111" spans="1:127">
      <c r="A111" s="321">
        <v>2406</v>
      </c>
      <c r="B111" s="322" t="s">
        <v>502</v>
      </c>
      <c r="C111" s="321">
        <v>2406</v>
      </c>
      <c r="D111" s="323" t="s">
        <v>817</v>
      </c>
      <c r="E111" s="323" t="s">
        <v>539</v>
      </c>
      <c r="F111" s="323" t="s">
        <v>818</v>
      </c>
      <c r="G111" s="323" t="s">
        <v>537</v>
      </c>
      <c r="H111" s="294">
        <v>1262089</v>
      </c>
      <c r="I111" s="294">
        <v>0</v>
      </c>
      <c r="J111" s="294">
        <v>72069</v>
      </c>
      <c r="K111" s="294">
        <v>0</v>
      </c>
      <c r="L111" s="294">
        <v>143170</v>
      </c>
      <c r="M111" s="294">
        <v>5657</v>
      </c>
      <c r="N111" s="294">
        <v>0</v>
      </c>
      <c r="O111" s="294">
        <v>0</v>
      </c>
      <c r="P111" s="294">
        <v>6723</v>
      </c>
      <c r="Q111" s="294">
        <v>0</v>
      </c>
      <c r="R111" s="294">
        <v>0</v>
      </c>
      <c r="S111" s="294">
        <v>0</v>
      </c>
      <c r="T111" s="294">
        <v>14878</v>
      </c>
      <c r="U111" s="294">
        <v>76509</v>
      </c>
      <c r="V111" s="294">
        <v>0</v>
      </c>
      <c r="W111" s="294">
        <v>9766</v>
      </c>
      <c r="X111" s="294">
        <v>41802</v>
      </c>
      <c r="Y111" s="294">
        <v>1632663</v>
      </c>
      <c r="Z111" s="294">
        <v>156638.62</v>
      </c>
      <c r="AA111" s="294">
        <v>0</v>
      </c>
      <c r="AB111" s="294">
        <v>59503</v>
      </c>
      <c r="AC111" s="294">
        <v>9331</v>
      </c>
      <c r="AD111" s="294">
        <v>90363</v>
      </c>
      <c r="AE111" s="294">
        <v>0</v>
      </c>
      <c r="AF111" s="294">
        <v>6637</v>
      </c>
      <c r="AG111" s="294">
        <v>0</v>
      </c>
      <c r="AH111" s="294">
        <v>0</v>
      </c>
      <c r="AI111" s="294">
        <v>0</v>
      </c>
      <c r="AJ111" s="294">
        <v>0</v>
      </c>
      <c r="AK111" s="294">
        <v>34768</v>
      </c>
      <c r="AL111" s="294">
        <v>3710</v>
      </c>
      <c r="AM111" s="294">
        <v>10433</v>
      </c>
      <c r="AN111" s="294">
        <v>2728</v>
      </c>
      <c r="AO111" s="294">
        <v>13017</v>
      </c>
      <c r="AP111" s="294">
        <v>12359</v>
      </c>
      <c r="AQ111" s="294">
        <v>11945</v>
      </c>
      <c r="AR111" s="294">
        <v>21395</v>
      </c>
      <c r="AS111" s="294">
        <v>0</v>
      </c>
      <c r="AT111" s="294">
        <v>0</v>
      </c>
      <c r="AU111" s="294">
        <v>0</v>
      </c>
      <c r="AV111" s="294">
        <v>5140</v>
      </c>
      <c r="AW111" s="294">
        <v>15418</v>
      </c>
      <c r="AX111" s="294">
        <v>52134</v>
      </c>
      <c r="AY111" s="294">
        <v>1534</v>
      </c>
      <c r="AZ111" s="294">
        <v>5114</v>
      </c>
      <c r="BA111" s="294">
        <v>1147257</v>
      </c>
      <c r="BB111" s="294">
        <v>0</v>
      </c>
      <c r="BC111" s="294">
        <v>0</v>
      </c>
      <c r="BD111" s="294">
        <v>0</v>
      </c>
      <c r="BE111" s="294">
        <v>1659425.62</v>
      </c>
      <c r="BF111" s="294">
        <v>219348</v>
      </c>
      <c r="BG111" s="294">
        <v>-26762.620000000112</v>
      </c>
      <c r="BH111" s="294">
        <v>192585.37999999989</v>
      </c>
      <c r="BI111" s="294">
        <v>6318</v>
      </c>
      <c r="BJ111" s="294">
        <v>0</v>
      </c>
      <c r="BK111" s="294">
        <v>0</v>
      </c>
      <c r="BL111" s="294">
        <v>6318</v>
      </c>
      <c r="BM111" s="294">
        <v>0</v>
      </c>
      <c r="BN111" s="294">
        <v>0</v>
      </c>
      <c r="BO111" s="294">
        <v>60346</v>
      </c>
      <c r="BP111" s="294">
        <v>0</v>
      </c>
      <c r="BQ111" s="294">
        <v>60346</v>
      </c>
      <c r="BR111" s="294">
        <v>62246</v>
      </c>
      <c r="BS111" s="294">
        <v>-54029</v>
      </c>
      <c r="BT111" s="294">
        <v>8217</v>
      </c>
      <c r="BU111" s="294">
        <v>0</v>
      </c>
      <c r="BV111" s="294">
        <v>0</v>
      </c>
      <c r="BW111" s="294">
        <v>0</v>
      </c>
      <c r="BX111" s="294">
        <v>0</v>
      </c>
      <c r="BY111" s="294">
        <v>0</v>
      </c>
      <c r="BZ111" s="294">
        <v>0</v>
      </c>
      <c r="CA111" s="294">
        <v>0</v>
      </c>
      <c r="CB111" s="294">
        <v>0</v>
      </c>
      <c r="CC111" s="294">
        <v>0</v>
      </c>
      <c r="CD111" s="294">
        <v>192585.37999999989</v>
      </c>
      <c r="CE111" s="294">
        <v>0</v>
      </c>
      <c r="CF111" s="294">
        <v>8217</v>
      </c>
      <c r="CG111" s="294">
        <v>0</v>
      </c>
      <c r="CH111" s="294">
        <v>0</v>
      </c>
      <c r="CI111" s="294">
        <f t="shared" si="1"/>
        <v>200802.37999999989</v>
      </c>
      <c r="CJ111" s="294">
        <v>288817</v>
      </c>
      <c r="CK111" s="294">
        <v>0</v>
      </c>
      <c r="CL111" s="294">
        <v>20000</v>
      </c>
      <c r="CM111" s="294">
        <v>308817</v>
      </c>
      <c r="CN111" s="294">
        <v>0</v>
      </c>
      <c r="CO111" s="294">
        <v>0</v>
      </c>
      <c r="CP111" s="294">
        <v>1644</v>
      </c>
      <c r="CQ111" s="294">
        <v>11155</v>
      </c>
      <c r="CR111" s="294">
        <v>-76885</v>
      </c>
      <c r="CS111" s="294">
        <v>244731</v>
      </c>
      <c r="CT111" s="294">
        <v>0</v>
      </c>
      <c r="CU111" s="294">
        <v>0</v>
      </c>
      <c r="CV111" s="294">
        <v>0</v>
      </c>
      <c r="CW111" s="294">
        <v>0</v>
      </c>
      <c r="CX111" s="294"/>
      <c r="CY111" s="294"/>
      <c r="CZ111" s="294"/>
      <c r="DA111" s="294">
        <v>0</v>
      </c>
      <c r="DB111" s="294">
        <v>0</v>
      </c>
      <c r="DC111" s="294">
        <v>0</v>
      </c>
      <c r="DD111" s="294">
        <v>6353</v>
      </c>
      <c r="DE111" s="294">
        <v>0</v>
      </c>
      <c r="DF111" s="294">
        <v>0</v>
      </c>
      <c r="DG111" s="294">
        <v>0</v>
      </c>
      <c r="DH111" s="294">
        <v>-28852.620000000003</v>
      </c>
      <c r="DI111" s="294">
        <v>0</v>
      </c>
      <c r="DJ111" s="294">
        <v>0</v>
      </c>
      <c r="DK111" s="294">
        <v>-22499.620000000003</v>
      </c>
      <c r="DL111" s="294">
        <v>0</v>
      </c>
      <c r="DM111" s="294">
        <v>0</v>
      </c>
      <c r="DN111" s="294">
        <v>0</v>
      </c>
      <c r="DO111" s="294">
        <v>0</v>
      </c>
      <c r="DP111" s="294">
        <v>-21428</v>
      </c>
      <c r="DQ111" s="324">
        <v>0</v>
      </c>
      <c r="DR111" s="295">
        <v>322472.62</v>
      </c>
      <c r="DS111" s="325">
        <v>1336953</v>
      </c>
      <c r="DT111" s="295">
        <v>1534</v>
      </c>
      <c r="DU111" s="295">
        <v>21601</v>
      </c>
      <c r="DV111" s="295">
        <v>76509</v>
      </c>
      <c r="DW111" s="295">
        <v>-21428</v>
      </c>
    </row>
    <row r="112" spans="1:127">
      <c r="A112" s="321">
        <v>2416</v>
      </c>
      <c r="B112" s="322" t="s">
        <v>364</v>
      </c>
      <c r="C112" s="321">
        <v>2416</v>
      </c>
      <c r="D112" s="323" t="s">
        <v>817</v>
      </c>
      <c r="E112" s="323" t="s">
        <v>539</v>
      </c>
      <c r="F112" s="323" t="s">
        <v>818</v>
      </c>
      <c r="G112" s="323" t="s">
        <v>537</v>
      </c>
      <c r="H112" s="294">
        <v>2045053</v>
      </c>
      <c r="I112" s="294">
        <v>0</v>
      </c>
      <c r="J112" s="294">
        <v>75526</v>
      </c>
      <c r="K112" s="294">
        <v>0</v>
      </c>
      <c r="L112" s="294">
        <v>63510</v>
      </c>
      <c r="M112" s="294">
        <v>1086</v>
      </c>
      <c r="N112" s="294">
        <v>0</v>
      </c>
      <c r="O112" s="294">
        <v>13060</v>
      </c>
      <c r="P112" s="294">
        <v>177344</v>
      </c>
      <c r="Q112" s="294">
        <v>80172</v>
      </c>
      <c r="R112" s="294">
        <v>0</v>
      </c>
      <c r="S112" s="294">
        <v>0</v>
      </c>
      <c r="T112" s="294">
        <v>53271</v>
      </c>
      <c r="U112" s="294">
        <v>32392</v>
      </c>
      <c r="V112" s="294">
        <v>0</v>
      </c>
      <c r="W112" s="294">
        <v>4408</v>
      </c>
      <c r="X112" s="294">
        <v>100472</v>
      </c>
      <c r="Y112" s="294">
        <v>2646294</v>
      </c>
      <c r="Z112" s="294">
        <v>1157725.0900000001</v>
      </c>
      <c r="AA112" s="294">
        <v>95323</v>
      </c>
      <c r="AB112" s="294">
        <v>343800</v>
      </c>
      <c r="AC112" s="294">
        <v>34740</v>
      </c>
      <c r="AD112" s="294">
        <v>142053</v>
      </c>
      <c r="AE112" s="294">
        <v>0</v>
      </c>
      <c r="AF112" s="294">
        <v>170682</v>
      </c>
      <c r="AG112" s="294">
        <v>1543</v>
      </c>
      <c r="AH112" s="294">
        <v>0</v>
      </c>
      <c r="AI112" s="294">
        <v>0</v>
      </c>
      <c r="AJ112" s="294">
        <v>0</v>
      </c>
      <c r="AK112" s="294">
        <v>20173</v>
      </c>
      <c r="AL112" s="294">
        <v>20135</v>
      </c>
      <c r="AM112" s="294">
        <v>36446</v>
      </c>
      <c r="AN112" s="294">
        <v>3651</v>
      </c>
      <c r="AO112" s="294">
        <v>48053</v>
      </c>
      <c r="AP112" s="294">
        <v>32595</v>
      </c>
      <c r="AQ112" s="294">
        <v>20905</v>
      </c>
      <c r="AR112" s="294">
        <v>54930</v>
      </c>
      <c r="AS112" s="294">
        <v>13379</v>
      </c>
      <c r="AT112" s="294">
        <v>0</v>
      </c>
      <c r="AU112" s="294">
        <v>-1479</v>
      </c>
      <c r="AV112" s="294">
        <v>10375</v>
      </c>
      <c r="AW112" s="294">
        <v>1296</v>
      </c>
      <c r="AX112" s="294">
        <v>19431</v>
      </c>
      <c r="AY112" s="294">
        <v>89026</v>
      </c>
      <c r="AZ112" s="294">
        <v>12937</v>
      </c>
      <c r="BA112" s="294">
        <v>303125</v>
      </c>
      <c r="BB112" s="294">
        <v>0</v>
      </c>
      <c r="BC112" s="294">
        <v>0</v>
      </c>
      <c r="BD112" s="294">
        <v>0</v>
      </c>
      <c r="BE112" s="294">
        <v>2630843.09</v>
      </c>
      <c r="BF112" s="294">
        <v>42262</v>
      </c>
      <c r="BG112" s="294">
        <v>15450.910000000149</v>
      </c>
      <c r="BH112" s="294">
        <v>57712.910000000149</v>
      </c>
      <c r="BI112" s="294">
        <v>13899</v>
      </c>
      <c r="BJ112" s="294">
        <v>0</v>
      </c>
      <c r="BK112" s="294">
        <v>0</v>
      </c>
      <c r="BL112" s="294">
        <v>13899</v>
      </c>
      <c r="BM112" s="294">
        <v>0</v>
      </c>
      <c r="BN112" s="294">
        <v>0</v>
      </c>
      <c r="BO112" s="294">
        <v>0</v>
      </c>
      <c r="BP112" s="294">
        <v>0</v>
      </c>
      <c r="BQ112" s="294">
        <v>0</v>
      </c>
      <c r="BR112" s="294">
        <v>5759</v>
      </c>
      <c r="BS112" s="294">
        <v>13899</v>
      </c>
      <c r="BT112" s="294">
        <v>19658</v>
      </c>
      <c r="BU112" s="294">
        <v>0</v>
      </c>
      <c r="BV112" s="294">
        <v>0</v>
      </c>
      <c r="BW112" s="294">
        <v>0</v>
      </c>
      <c r="BX112" s="294">
        <v>0</v>
      </c>
      <c r="BY112" s="294">
        <v>0</v>
      </c>
      <c r="BZ112" s="294">
        <v>0</v>
      </c>
      <c r="CA112" s="294">
        <v>0</v>
      </c>
      <c r="CB112" s="294">
        <v>0</v>
      </c>
      <c r="CC112" s="294">
        <v>0</v>
      </c>
      <c r="CD112" s="294">
        <v>57712.910000000149</v>
      </c>
      <c r="CE112" s="294">
        <v>0</v>
      </c>
      <c r="CF112" s="294">
        <v>19658</v>
      </c>
      <c r="CG112" s="294">
        <v>0</v>
      </c>
      <c r="CH112" s="294">
        <v>0</v>
      </c>
      <c r="CI112" s="294">
        <f t="shared" si="1"/>
        <v>77370.910000000149</v>
      </c>
      <c r="CJ112" s="294">
        <v>163958</v>
      </c>
      <c r="CK112" s="294">
        <v>1078</v>
      </c>
      <c r="CL112" s="294">
        <v>312</v>
      </c>
      <c r="CM112" s="294">
        <v>163192</v>
      </c>
      <c r="CN112" s="294">
        <v>0</v>
      </c>
      <c r="CO112" s="294">
        <v>0</v>
      </c>
      <c r="CP112" s="294">
        <v>11013</v>
      </c>
      <c r="CQ112" s="294">
        <v>0</v>
      </c>
      <c r="CR112" s="294">
        <v>-35140</v>
      </c>
      <c r="CS112" s="294">
        <v>139065</v>
      </c>
      <c r="CT112" s="294">
        <v>50769</v>
      </c>
      <c r="CU112" s="294">
        <v>0</v>
      </c>
      <c r="CV112" s="294">
        <v>0</v>
      </c>
      <c r="CW112" s="294">
        <v>50769</v>
      </c>
      <c r="CX112" s="294"/>
      <c r="CY112" s="294"/>
      <c r="CZ112" s="294"/>
      <c r="DA112" s="294">
        <v>0</v>
      </c>
      <c r="DB112" s="294">
        <v>50769</v>
      </c>
      <c r="DC112" s="294">
        <v>0</v>
      </c>
      <c r="DD112" s="294">
        <v>34</v>
      </c>
      <c r="DE112" s="294">
        <v>0</v>
      </c>
      <c r="DF112" s="294">
        <v>0</v>
      </c>
      <c r="DG112" s="294">
        <v>-100522</v>
      </c>
      <c r="DH112" s="294">
        <v>-22824.09</v>
      </c>
      <c r="DI112" s="294">
        <v>0</v>
      </c>
      <c r="DJ112" s="294">
        <v>0</v>
      </c>
      <c r="DK112" s="294">
        <v>-123312.09</v>
      </c>
      <c r="DL112" s="294">
        <v>0</v>
      </c>
      <c r="DM112" s="294">
        <v>11013</v>
      </c>
      <c r="DN112" s="294">
        <v>0</v>
      </c>
      <c r="DO112" s="294">
        <v>0</v>
      </c>
      <c r="DP112" s="294">
        <v>-165</v>
      </c>
      <c r="DQ112" s="324">
        <v>-0.1</v>
      </c>
      <c r="DR112" s="295">
        <v>1945866.09</v>
      </c>
      <c r="DS112" s="325">
        <v>684976.99999999977</v>
      </c>
      <c r="DT112" s="295">
        <v>89026</v>
      </c>
      <c r="DU112" s="295">
        <v>323847</v>
      </c>
      <c r="DV112" s="295">
        <v>32392</v>
      </c>
      <c r="DW112" s="295">
        <v>10848</v>
      </c>
    </row>
    <row r="113" spans="1:127">
      <c r="A113" s="321">
        <v>3003</v>
      </c>
      <c r="B113" s="322" t="s">
        <v>437</v>
      </c>
      <c r="C113" s="321">
        <v>3003</v>
      </c>
      <c r="D113" s="323" t="s">
        <v>817</v>
      </c>
      <c r="E113" s="323" t="s">
        <v>539</v>
      </c>
      <c r="F113" s="323" t="s">
        <v>818</v>
      </c>
      <c r="G113" s="323" t="s">
        <v>537</v>
      </c>
      <c r="H113" s="294">
        <v>1104745.93</v>
      </c>
      <c r="I113" s="294">
        <v>0</v>
      </c>
      <c r="J113" s="294">
        <v>50307.040000000001</v>
      </c>
      <c r="K113" s="294">
        <v>0</v>
      </c>
      <c r="L113" s="294">
        <v>49100</v>
      </c>
      <c r="M113" s="294">
        <v>3171.29</v>
      </c>
      <c r="N113" s="294">
        <v>0</v>
      </c>
      <c r="O113" s="294">
        <v>0</v>
      </c>
      <c r="P113" s="294">
        <v>102667.04000000002</v>
      </c>
      <c r="Q113" s="294">
        <v>22815.33</v>
      </c>
      <c r="R113" s="294">
        <v>0</v>
      </c>
      <c r="S113" s="294">
        <v>0</v>
      </c>
      <c r="T113" s="294">
        <v>171401.15</v>
      </c>
      <c r="U113" s="294">
        <v>34.64</v>
      </c>
      <c r="V113" s="294">
        <v>0</v>
      </c>
      <c r="W113" s="294">
        <v>864.8</v>
      </c>
      <c r="X113" s="294">
        <v>52059</v>
      </c>
      <c r="Y113" s="294">
        <v>1557166.22</v>
      </c>
      <c r="Z113" s="294">
        <v>488546.74000000011</v>
      </c>
      <c r="AA113" s="294">
        <v>1055.4000000000001</v>
      </c>
      <c r="AB113" s="294">
        <v>427.32999999999993</v>
      </c>
      <c r="AC113" s="294">
        <v>202150.0899999995</v>
      </c>
      <c r="AD113" s="294">
        <v>85.960000000000008</v>
      </c>
      <c r="AE113" s="294">
        <v>0</v>
      </c>
      <c r="AF113" s="294">
        <v>230875.38000000009</v>
      </c>
      <c r="AG113" s="294">
        <v>7247.33</v>
      </c>
      <c r="AH113" s="294">
        <v>6777</v>
      </c>
      <c r="AI113" s="294">
        <v>0</v>
      </c>
      <c r="AJ113" s="294">
        <v>0</v>
      </c>
      <c r="AK113" s="294">
        <v>48491.680000000008</v>
      </c>
      <c r="AL113" s="294">
        <v>1166.6500000000001</v>
      </c>
      <c r="AM113" s="294">
        <v>1246.9199999999998</v>
      </c>
      <c r="AN113" s="294">
        <v>1086.0700000000002</v>
      </c>
      <c r="AO113" s="294">
        <v>42993.8</v>
      </c>
      <c r="AP113" s="294">
        <v>49289.7</v>
      </c>
      <c r="AQ113" s="294">
        <v>9399.09</v>
      </c>
      <c r="AR113" s="294">
        <v>56691.049999999996</v>
      </c>
      <c r="AS113" s="294">
        <v>18552.929999999997</v>
      </c>
      <c r="AT113" s="294">
        <v>5850</v>
      </c>
      <c r="AU113" s="294">
        <v>9014.0899999999965</v>
      </c>
      <c r="AV113" s="294">
        <v>5139.75</v>
      </c>
      <c r="AW113" s="294">
        <v>1495</v>
      </c>
      <c r="AX113" s="294">
        <v>80170.17</v>
      </c>
      <c r="AY113" s="294">
        <v>110614.05999999998</v>
      </c>
      <c r="AZ113" s="294">
        <v>5239.63</v>
      </c>
      <c r="BA113" s="294">
        <v>264789.1100000001</v>
      </c>
      <c r="BB113" s="294">
        <v>0</v>
      </c>
      <c r="BC113" s="294">
        <v>0</v>
      </c>
      <c r="BD113" s="294">
        <v>0</v>
      </c>
      <c r="BE113" s="294">
        <v>1648394.93</v>
      </c>
      <c r="BF113" s="294">
        <v>86970.719999999841</v>
      </c>
      <c r="BG113" s="294">
        <v>-91228.709999999963</v>
      </c>
      <c r="BH113" s="294">
        <v>-4257.9900000001217</v>
      </c>
      <c r="BI113" s="294">
        <v>0</v>
      </c>
      <c r="BJ113" s="294">
        <v>0</v>
      </c>
      <c r="BK113" s="294">
        <v>0</v>
      </c>
      <c r="BL113" s="294">
        <v>0</v>
      </c>
      <c r="BM113" s="294">
        <v>0</v>
      </c>
      <c r="BN113" s="294">
        <v>0</v>
      </c>
      <c r="BO113" s="294">
        <v>0</v>
      </c>
      <c r="BP113" s="294">
        <v>0</v>
      </c>
      <c r="BQ113" s="294">
        <v>0</v>
      </c>
      <c r="BR113" s="294">
        <v>0</v>
      </c>
      <c r="BS113" s="294">
        <v>0</v>
      </c>
      <c r="BT113" s="294">
        <v>0</v>
      </c>
      <c r="BU113" s="294">
        <v>0</v>
      </c>
      <c r="BV113" s="294">
        <v>0</v>
      </c>
      <c r="BW113" s="294">
        <v>0</v>
      </c>
      <c r="BX113" s="294">
        <v>0</v>
      </c>
      <c r="BY113" s="294">
        <v>0</v>
      </c>
      <c r="BZ113" s="294">
        <v>0</v>
      </c>
      <c r="CA113" s="294">
        <v>0</v>
      </c>
      <c r="CB113" s="294">
        <v>0</v>
      </c>
      <c r="CC113" s="294">
        <v>0</v>
      </c>
      <c r="CD113" s="294">
        <v>-4257.9900000001217</v>
      </c>
      <c r="CE113" s="294">
        <v>0</v>
      </c>
      <c r="CF113" s="294">
        <v>0</v>
      </c>
      <c r="CG113" s="294">
        <v>0</v>
      </c>
      <c r="CH113" s="294">
        <v>0</v>
      </c>
      <c r="CI113" s="294">
        <f t="shared" si="1"/>
        <v>-4257.9900000001217</v>
      </c>
      <c r="CJ113" s="294">
        <v>157299.78</v>
      </c>
      <c r="CK113" s="294">
        <v>0</v>
      </c>
      <c r="CL113" s="294">
        <v>0</v>
      </c>
      <c r="CM113" s="294">
        <v>157299.78</v>
      </c>
      <c r="CN113" s="294">
        <v>0</v>
      </c>
      <c r="CO113" s="294">
        <v>0</v>
      </c>
      <c r="CP113" s="294">
        <v>0</v>
      </c>
      <c r="CQ113" s="294">
        <v>0</v>
      </c>
      <c r="CR113" s="294">
        <v>-118780.5</v>
      </c>
      <c r="CS113" s="294">
        <v>38519.279999999999</v>
      </c>
      <c r="CT113" s="294">
        <v>0</v>
      </c>
      <c r="CU113" s="294">
        <v>0</v>
      </c>
      <c r="CV113" s="294">
        <v>0</v>
      </c>
      <c r="CW113" s="294">
        <v>0</v>
      </c>
      <c r="CX113" s="294"/>
      <c r="CY113" s="294"/>
      <c r="CZ113" s="294"/>
      <c r="DA113" s="294">
        <v>0</v>
      </c>
      <c r="DB113" s="294">
        <v>0</v>
      </c>
      <c r="DC113" s="294">
        <v>0</v>
      </c>
      <c r="DD113" s="294">
        <v>3075.96</v>
      </c>
      <c r="DE113" s="294">
        <v>0</v>
      </c>
      <c r="DF113" s="294">
        <v>0</v>
      </c>
      <c r="DG113" s="294">
        <v>-22133.52</v>
      </c>
      <c r="DH113" s="294">
        <v>-23719.71</v>
      </c>
      <c r="DI113" s="294">
        <v>0</v>
      </c>
      <c r="DJ113" s="294">
        <v>0</v>
      </c>
      <c r="DK113" s="294">
        <v>-42777.270000000004</v>
      </c>
      <c r="DL113" s="294">
        <v>0</v>
      </c>
      <c r="DM113" s="294">
        <v>0</v>
      </c>
      <c r="DN113" s="294">
        <v>0</v>
      </c>
      <c r="DO113" s="294">
        <v>0</v>
      </c>
      <c r="DP113" s="294">
        <v>0</v>
      </c>
      <c r="DQ113" s="324">
        <v>0</v>
      </c>
      <c r="DR113" s="295">
        <v>930388.22999999963</v>
      </c>
      <c r="DS113" s="325">
        <v>718006.7000000003</v>
      </c>
      <c r="DT113" s="295">
        <v>110614.05999999998</v>
      </c>
      <c r="DU113" s="295">
        <v>296883.52</v>
      </c>
      <c r="DV113" s="295">
        <v>34.64</v>
      </c>
      <c r="DW113" s="295">
        <v>0</v>
      </c>
    </row>
    <row r="114" spans="1:127">
      <c r="A114" s="321">
        <v>4245</v>
      </c>
      <c r="B114" s="322" t="s">
        <v>365</v>
      </c>
      <c r="C114" s="321">
        <v>4245</v>
      </c>
      <c r="D114" s="323" t="s">
        <v>817</v>
      </c>
      <c r="E114" s="323" t="s">
        <v>543</v>
      </c>
      <c r="F114" s="323" t="s">
        <v>818</v>
      </c>
      <c r="G114" s="323" t="s">
        <v>537</v>
      </c>
      <c r="H114" s="294">
        <v>10235301.390000001</v>
      </c>
      <c r="I114" s="294">
        <v>1419220.64</v>
      </c>
      <c r="J114" s="294">
        <v>121911.75</v>
      </c>
      <c r="K114" s="294">
        <v>0</v>
      </c>
      <c r="L114" s="294">
        <v>745500</v>
      </c>
      <c r="M114" s="294">
        <v>29655.439999999999</v>
      </c>
      <c r="N114" s="294">
        <v>0</v>
      </c>
      <c r="O114" s="294">
        <v>268600</v>
      </c>
      <c r="P114" s="294">
        <v>180419.29</v>
      </c>
      <c r="Q114" s="294">
        <v>0</v>
      </c>
      <c r="R114" s="294">
        <v>0</v>
      </c>
      <c r="S114" s="294">
        <v>0</v>
      </c>
      <c r="T114" s="294">
        <v>37828</v>
      </c>
      <c r="U114" s="294">
        <v>5068.8</v>
      </c>
      <c r="V114" s="294">
        <v>0</v>
      </c>
      <c r="W114" s="294">
        <v>42168.38</v>
      </c>
      <c r="X114" s="294">
        <v>0</v>
      </c>
      <c r="Y114" s="294">
        <v>13085673.690000001</v>
      </c>
      <c r="Z114" s="294">
        <v>6585382</v>
      </c>
      <c r="AA114" s="294">
        <v>0</v>
      </c>
      <c r="AB114" s="294">
        <v>1849393</v>
      </c>
      <c r="AC114" s="294">
        <v>485022</v>
      </c>
      <c r="AD114" s="294">
        <v>797288</v>
      </c>
      <c r="AE114" s="294">
        <v>0</v>
      </c>
      <c r="AF114" s="294">
        <v>0</v>
      </c>
      <c r="AG114" s="294">
        <v>354784</v>
      </c>
      <c r="AH114" s="294">
        <v>32190</v>
      </c>
      <c r="AI114" s="294">
        <v>0</v>
      </c>
      <c r="AJ114" s="294">
        <v>0</v>
      </c>
      <c r="AK114" s="294">
        <v>1074186.49</v>
      </c>
      <c r="AL114" s="294">
        <v>21378</v>
      </c>
      <c r="AM114" s="294">
        <v>15866</v>
      </c>
      <c r="AN114" s="294">
        <v>26734</v>
      </c>
      <c r="AO114" s="294">
        <v>308908</v>
      </c>
      <c r="AP114" s="294">
        <v>22895.86</v>
      </c>
      <c r="AQ114" s="294">
        <v>94492</v>
      </c>
      <c r="AR114" s="294">
        <v>458069.45</v>
      </c>
      <c r="AS114" s="294">
        <v>140184</v>
      </c>
      <c r="AT114" s="294">
        <v>211018</v>
      </c>
      <c r="AU114" s="294">
        <v>203210.6</v>
      </c>
      <c r="AV114" s="294">
        <v>47732</v>
      </c>
      <c r="AW114" s="294">
        <v>5920</v>
      </c>
      <c r="AX114" s="294">
        <v>281019</v>
      </c>
      <c r="AY114" s="294">
        <v>-18471.64</v>
      </c>
      <c r="AZ114" s="294">
        <v>303199.05</v>
      </c>
      <c r="BA114" s="294">
        <v>85938.1</v>
      </c>
      <c r="BB114" s="294">
        <v>0</v>
      </c>
      <c r="BC114" s="294">
        <v>0</v>
      </c>
      <c r="BD114" s="294">
        <v>0</v>
      </c>
      <c r="BE114" s="294">
        <v>13386337.909999998</v>
      </c>
      <c r="BF114" s="294">
        <v>4271575.1399999997</v>
      </c>
      <c r="BG114" s="294">
        <v>-300664.21999999695</v>
      </c>
      <c r="BH114" s="294">
        <v>3970910.9200000027</v>
      </c>
      <c r="BI114" s="294">
        <v>30091.56</v>
      </c>
      <c r="BJ114" s="294">
        <v>0</v>
      </c>
      <c r="BK114" s="294">
        <v>0</v>
      </c>
      <c r="BL114" s="294">
        <v>30091.56</v>
      </c>
      <c r="BM114" s="294">
        <v>0</v>
      </c>
      <c r="BN114" s="294">
        <v>0</v>
      </c>
      <c r="BO114" s="294">
        <v>0</v>
      </c>
      <c r="BP114" s="294">
        <v>0</v>
      </c>
      <c r="BQ114" s="294">
        <v>0</v>
      </c>
      <c r="BR114" s="294">
        <v>114023.5</v>
      </c>
      <c r="BS114" s="294">
        <v>30091.56</v>
      </c>
      <c r="BT114" s="294">
        <v>144115.06</v>
      </c>
      <c r="BU114" s="294">
        <v>0</v>
      </c>
      <c r="BV114" s="294">
        <v>0</v>
      </c>
      <c r="BW114" s="294">
        <v>0</v>
      </c>
      <c r="BX114" s="294">
        <v>0</v>
      </c>
      <c r="BY114" s="294">
        <v>0</v>
      </c>
      <c r="BZ114" s="294">
        <v>0</v>
      </c>
      <c r="CA114" s="294">
        <v>0</v>
      </c>
      <c r="CB114" s="294">
        <v>0</v>
      </c>
      <c r="CC114" s="294">
        <v>0</v>
      </c>
      <c r="CD114" s="294">
        <v>3970910.9200000027</v>
      </c>
      <c r="CE114" s="294">
        <v>0</v>
      </c>
      <c r="CF114" s="294">
        <v>144115.06</v>
      </c>
      <c r="CG114" s="294">
        <v>0</v>
      </c>
      <c r="CH114" s="294">
        <v>0</v>
      </c>
      <c r="CI114" s="294">
        <f t="shared" si="1"/>
        <v>4115025.9800000028</v>
      </c>
      <c r="CJ114" s="294">
        <v>4250826.3899999997</v>
      </c>
      <c r="CK114" s="294">
        <v>37910</v>
      </c>
      <c r="CL114" s="294">
        <v>77865</v>
      </c>
      <c r="CM114" s="294">
        <v>4290781.3899999997</v>
      </c>
      <c r="CN114" s="294">
        <v>0</v>
      </c>
      <c r="CO114" s="294">
        <v>0</v>
      </c>
      <c r="CP114" s="294">
        <v>102670.49</v>
      </c>
      <c r="CQ114" s="294">
        <v>0</v>
      </c>
      <c r="CR114" s="294">
        <v>-183395.34</v>
      </c>
      <c r="CS114" s="294">
        <v>4210056.54</v>
      </c>
      <c r="CT114" s="294">
        <v>0</v>
      </c>
      <c r="CU114" s="294">
        <v>0</v>
      </c>
      <c r="CV114" s="294">
        <v>0</v>
      </c>
      <c r="CW114" s="294">
        <v>0</v>
      </c>
      <c r="CX114" s="294"/>
      <c r="CY114" s="294"/>
      <c r="CZ114" s="294"/>
      <c r="DA114" s="294">
        <v>0</v>
      </c>
      <c r="DB114" s="294">
        <v>0</v>
      </c>
      <c r="DC114" s="294">
        <v>5068.8</v>
      </c>
      <c r="DD114" s="294">
        <v>4281.29</v>
      </c>
      <c r="DE114" s="294">
        <v>43095.8</v>
      </c>
      <c r="DF114" s="294">
        <v>0</v>
      </c>
      <c r="DG114" s="294">
        <v>-158144.4</v>
      </c>
      <c r="DH114" s="294">
        <v>-2318.9</v>
      </c>
      <c r="DI114" s="294">
        <v>0</v>
      </c>
      <c r="DJ114" s="294">
        <v>0</v>
      </c>
      <c r="DK114" s="294">
        <v>-108017.40999999999</v>
      </c>
      <c r="DL114" s="294">
        <v>12986.85</v>
      </c>
      <c r="DM114" s="294">
        <v>0</v>
      </c>
      <c r="DN114" s="294">
        <v>0</v>
      </c>
      <c r="DO114" s="294">
        <v>0</v>
      </c>
      <c r="DP114" s="294">
        <v>0</v>
      </c>
      <c r="DQ114" s="324">
        <v>0</v>
      </c>
      <c r="DR114" s="295">
        <v>10071869</v>
      </c>
      <c r="DS114" s="325">
        <v>3314468.9099999983</v>
      </c>
      <c r="DT114" s="295">
        <v>-18471.64</v>
      </c>
      <c r="DU114" s="295">
        <v>486847.29000000004</v>
      </c>
      <c r="DV114" s="295">
        <v>5068.8</v>
      </c>
      <c r="DW114" s="295">
        <v>12986.85</v>
      </c>
    </row>
    <row r="115" spans="1:127">
      <c r="A115" s="321">
        <v>2457</v>
      </c>
      <c r="B115" s="322" t="s">
        <v>438</v>
      </c>
      <c r="C115" s="321">
        <v>2457</v>
      </c>
      <c r="D115" s="323" t="s">
        <v>817</v>
      </c>
      <c r="E115" s="323" t="s">
        <v>539</v>
      </c>
      <c r="F115" s="323" t="s">
        <v>818</v>
      </c>
      <c r="G115" s="323" t="s">
        <v>537</v>
      </c>
      <c r="H115" s="294">
        <v>2583930.31</v>
      </c>
      <c r="I115" s="294">
        <v>0</v>
      </c>
      <c r="J115" s="294">
        <v>259737.79</v>
      </c>
      <c r="K115" s="294">
        <v>0</v>
      </c>
      <c r="L115" s="294">
        <v>254880</v>
      </c>
      <c r="M115" s="294">
        <v>856.93</v>
      </c>
      <c r="N115" s="294">
        <v>0</v>
      </c>
      <c r="O115" s="294">
        <v>0</v>
      </c>
      <c r="P115" s="294">
        <v>62863.64</v>
      </c>
      <c r="Q115" s="294">
        <v>35976.78</v>
      </c>
      <c r="R115" s="294">
        <v>1512.95</v>
      </c>
      <c r="S115" s="294">
        <v>0</v>
      </c>
      <c r="T115" s="294">
        <v>6095.4099999999989</v>
      </c>
      <c r="U115" s="294">
        <v>150.84</v>
      </c>
      <c r="V115" s="294">
        <v>0</v>
      </c>
      <c r="W115" s="294">
        <v>9499.23</v>
      </c>
      <c r="X115" s="294">
        <v>74903</v>
      </c>
      <c r="Y115" s="294">
        <v>3290406.8800000004</v>
      </c>
      <c r="Z115" s="294">
        <v>1218842.4699999986</v>
      </c>
      <c r="AA115" s="294">
        <v>-533.91</v>
      </c>
      <c r="AB115" s="294">
        <v>-17835.140000000003</v>
      </c>
      <c r="AC115" s="294">
        <v>536394.76999999979</v>
      </c>
      <c r="AD115" s="294">
        <v>203.57</v>
      </c>
      <c r="AE115" s="294">
        <v>0</v>
      </c>
      <c r="AF115" s="294">
        <v>601576.41999999888</v>
      </c>
      <c r="AG115" s="294">
        <v>30560.389999999974</v>
      </c>
      <c r="AH115" s="294">
        <v>2720.83</v>
      </c>
      <c r="AI115" s="294">
        <v>0</v>
      </c>
      <c r="AJ115" s="294">
        <v>0</v>
      </c>
      <c r="AK115" s="294">
        <v>278908.99</v>
      </c>
      <c r="AL115" s="294">
        <v>0</v>
      </c>
      <c r="AM115" s="294">
        <v>4561.4499999999989</v>
      </c>
      <c r="AN115" s="294">
        <v>-51.480000000000132</v>
      </c>
      <c r="AO115" s="294">
        <v>38107.859999999993</v>
      </c>
      <c r="AP115" s="294">
        <v>31799.81</v>
      </c>
      <c r="AQ115" s="294">
        <v>17382.179999999993</v>
      </c>
      <c r="AR115" s="294">
        <v>82526.989999999991</v>
      </c>
      <c r="AS115" s="294">
        <v>43373.819999999992</v>
      </c>
      <c r="AT115" s="294">
        <v>700</v>
      </c>
      <c r="AU115" s="294">
        <v>49642.55000000001</v>
      </c>
      <c r="AV115" s="294">
        <v>9471</v>
      </c>
      <c r="AW115" s="294">
        <v>2975</v>
      </c>
      <c r="AX115" s="294">
        <v>197433.78</v>
      </c>
      <c r="AY115" s="294">
        <v>207511.14999999997</v>
      </c>
      <c r="AZ115" s="294">
        <v>10328.84</v>
      </c>
      <c r="BA115" s="294">
        <v>131850.53999999998</v>
      </c>
      <c r="BB115" s="294">
        <v>0</v>
      </c>
      <c r="BC115" s="294">
        <v>0</v>
      </c>
      <c r="BD115" s="294">
        <v>0</v>
      </c>
      <c r="BE115" s="294">
        <v>3478451.8799999976</v>
      </c>
      <c r="BF115" s="294">
        <v>974998.39999999991</v>
      </c>
      <c r="BG115" s="294">
        <v>-188044.99999999721</v>
      </c>
      <c r="BH115" s="294">
        <v>786953.4000000027</v>
      </c>
      <c r="BI115" s="294">
        <v>8954.5</v>
      </c>
      <c r="BJ115" s="294">
        <v>0</v>
      </c>
      <c r="BK115" s="294">
        <v>0</v>
      </c>
      <c r="BL115" s="294">
        <v>8954.5</v>
      </c>
      <c r="BM115" s="294">
        <v>0</v>
      </c>
      <c r="BN115" s="294">
        <v>139</v>
      </c>
      <c r="BO115" s="294">
        <v>0</v>
      </c>
      <c r="BP115" s="294">
        <v>0</v>
      </c>
      <c r="BQ115" s="294">
        <v>139</v>
      </c>
      <c r="BR115" s="294">
        <v>0</v>
      </c>
      <c r="BS115" s="294">
        <v>8815.5</v>
      </c>
      <c r="BT115" s="294">
        <v>8815.5</v>
      </c>
      <c r="BU115" s="294">
        <v>0</v>
      </c>
      <c r="BV115" s="294">
        <v>0</v>
      </c>
      <c r="BW115" s="294">
        <v>0</v>
      </c>
      <c r="BX115" s="294">
        <v>0</v>
      </c>
      <c r="BY115" s="294">
        <v>0</v>
      </c>
      <c r="BZ115" s="294">
        <v>0</v>
      </c>
      <c r="CA115" s="294">
        <v>0</v>
      </c>
      <c r="CB115" s="294">
        <v>0</v>
      </c>
      <c r="CC115" s="294">
        <v>0</v>
      </c>
      <c r="CD115" s="294">
        <v>786953.4000000027</v>
      </c>
      <c r="CE115" s="294">
        <v>0</v>
      </c>
      <c r="CF115" s="294">
        <v>8815.5</v>
      </c>
      <c r="CG115" s="294">
        <v>0</v>
      </c>
      <c r="CH115" s="294">
        <v>0</v>
      </c>
      <c r="CI115" s="294">
        <f t="shared" si="1"/>
        <v>795768.9000000027</v>
      </c>
      <c r="CJ115" s="294">
        <v>145384.75</v>
      </c>
      <c r="CK115" s="294">
        <v>86</v>
      </c>
      <c r="CL115" s="294">
        <v>0</v>
      </c>
      <c r="CM115" s="294">
        <v>145298.75</v>
      </c>
      <c r="CN115" s="294">
        <v>0</v>
      </c>
      <c r="CO115" s="294">
        <v>0</v>
      </c>
      <c r="CP115" s="294">
        <v>27409.56</v>
      </c>
      <c r="CQ115" s="294">
        <v>0</v>
      </c>
      <c r="CR115" s="294">
        <v>738373.26</v>
      </c>
      <c r="CS115" s="294">
        <v>911081.57000000007</v>
      </c>
      <c r="CT115" s="294">
        <v>0</v>
      </c>
      <c r="CU115" s="294">
        <v>0</v>
      </c>
      <c r="CV115" s="294">
        <v>0</v>
      </c>
      <c r="CW115" s="294">
        <v>0</v>
      </c>
      <c r="CX115" s="294"/>
      <c r="CY115" s="294"/>
      <c r="CZ115" s="294"/>
      <c r="DA115" s="294">
        <v>0</v>
      </c>
      <c r="DB115" s="294">
        <v>0</v>
      </c>
      <c r="DC115" s="294">
        <v>0</v>
      </c>
      <c r="DD115" s="294">
        <v>37525.39</v>
      </c>
      <c r="DE115" s="294">
        <v>0</v>
      </c>
      <c r="DF115" s="294">
        <v>0</v>
      </c>
      <c r="DG115" s="294">
        <v>-109634.59</v>
      </c>
      <c r="DH115" s="294">
        <v>-43203.82</v>
      </c>
      <c r="DI115" s="294">
        <v>0</v>
      </c>
      <c r="DJ115" s="294">
        <v>0</v>
      </c>
      <c r="DK115" s="294">
        <v>-115313.01999999999</v>
      </c>
      <c r="DL115" s="294">
        <v>0</v>
      </c>
      <c r="DM115" s="294">
        <v>0</v>
      </c>
      <c r="DN115" s="294">
        <v>0</v>
      </c>
      <c r="DO115" s="294">
        <v>0</v>
      </c>
      <c r="DP115" s="294">
        <v>0</v>
      </c>
      <c r="DQ115" s="324">
        <v>0.34999999986030161</v>
      </c>
      <c r="DR115" s="295">
        <v>2369208.5699999975</v>
      </c>
      <c r="DS115" s="325">
        <v>1109243.31</v>
      </c>
      <c r="DT115" s="295">
        <v>207511.14999999997</v>
      </c>
      <c r="DU115" s="295">
        <v>104935.83</v>
      </c>
      <c r="DV115" s="295">
        <v>1663.79</v>
      </c>
      <c r="DW115" s="295">
        <v>0</v>
      </c>
    </row>
    <row r="116" spans="1:127">
      <c r="A116" s="321">
        <v>2142</v>
      </c>
      <c r="B116" s="322" t="s">
        <v>439</v>
      </c>
      <c r="C116" s="321">
        <v>2142</v>
      </c>
      <c r="D116" s="323" t="s">
        <v>817</v>
      </c>
      <c r="E116" s="323" t="s">
        <v>539</v>
      </c>
      <c r="F116" s="323" t="s">
        <v>818</v>
      </c>
      <c r="G116" s="323" t="s">
        <v>537</v>
      </c>
      <c r="H116" s="294">
        <v>2732388.45</v>
      </c>
      <c r="I116" s="294">
        <v>0</v>
      </c>
      <c r="J116" s="294">
        <v>174775.55</v>
      </c>
      <c r="K116" s="294">
        <v>0</v>
      </c>
      <c r="L116" s="294">
        <v>285640</v>
      </c>
      <c r="M116" s="294">
        <v>5571.2899999999936</v>
      </c>
      <c r="N116" s="294">
        <v>0</v>
      </c>
      <c r="O116" s="294">
        <v>0</v>
      </c>
      <c r="P116" s="294">
        <v>36189.93</v>
      </c>
      <c r="Q116" s="294">
        <v>1513.3799999999974</v>
      </c>
      <c r="R116" s="294">
        <v>0</v>
      </c>
      <c r="S116" s="294">
        <v>0</v>
      </c>
      <c r="T116" s="294">
        <v>11164.609999999993</v>
      </c>
      <c r="U116" s="294">
        <v>134616.71</v>
      </c>
      <c r="V116" s="294">
        <v>0</v>
      </c>
      <c r="W116" s="294">
        <v>17712.919999999998</v>
      </c>
      <c r="X116" s="294">
        <v>65138</v>
      </c>
      <c r="Y116" s="294">
        <v>3464710.84</v>
      </c>
      <c r="Z116" s="294">
        <v>1629082.840000001</v>
      </c>
      <c r="AA116" s="294">
        <v>0</v>
      </c>
      <c r="AB116" s="294">
        <v>290761.40999999997</v>
      </c>
      <c r="AC116" s="294">
        <v>40265.550000000687</v>
      </c>
      <c r="AD116" s="294">
        <v>199886.67</v>
      </c>
      <c r="AE116" s="294">
        <v>0</v>
      </c>
      <c r="AF116" s="294">
        <v>92683.679999999818</v>
      </c>
      <c r="AG116" s="294">
        <v>10018.200000000035</v>
      </c>
      <c r="AH116" s="294">
        <v>11507.7</v>
      </c>
      <c r="AI116" s="294">
        <v>0</v>
      </c>
      <c r="AJ116" s="294">
        <v>0</v>
      </c>
      <c r="AK116" s="294">
        <v>55893.42</v>
      </c>
      <c r="AL116" s="294">
        <v>6563</v>
      </c>
      <c r="AM116" s="294">
        <v>62276.829999999994</v>
      </c>
      <c r="AN116" s="294">
        <v>715.57</v>
      </c>
      <c r="AO116" s="294">
        <v>61475.499999999985</v>
      </c>
      <c r="AP116" s="294">
        <v>23115.16</v>
      </c>
      <c r="AQ116" s="294">
        <v>18209.73</v>
      </c>
      <c r="AR116" s="294">
        <v>308158.81999999989</v>
      </c>
      <c r="AS116" s="294">
        <v>7268.87</v>
      </c>
      <c r="AT116" s="294">
        <v>0</v>
      </c>
      <c r="AU116" s="294">
        <v>142150.37</v>
      </c>
      <c r="AV116" s="294">
        <v>9471</v>
      </c>
      <c r="AW116" s="294">
        <v>5190</v>
      </c>
      <c r="AX116" s="294">
        <v>148924.99</v>
      </c>
      <c r="AY116" s="294">
        <v>63598.049999999945</v>
      </c>
      <c r="AZ116" s="294">
        <v>13124.19</v>
      </c>
      <c r="BA116" s="294">
        <v>209973.69999999995</v>
      </c>
      <c r="BB116" s="294">
        <v>0</v>
      </c>
      <c r="BC116" s="294">
        <v>0</v>
      </c>
      <c r="BD116" s="294">
        <v>0</v>
      </c>
      <c r="BE116" s="294">
        <v>3410315.2500000009</v>
      </c>
      <c r="BF116" s="294">
        <v>1122784.47</v>
      </c>
      <c r="BG116" s="294">
        <v>54395.58999999892</v>
      </c>
      <c r="BH116" s="294">
        <v>1177180.0599999989</v>
      </c>
      <c r="BI116" s="294">
        <v>32889</v>
      </c>
      <c r="BJ116" s="294">
        <v>0</v>
      </c>
      <c r="BK116" s="294">
        <v>0</v>
      </c>
      <c r="BL116" s="294">
        <v>32889</v>
      </c>
      <c r="BM116" s="294">
        <v>0</v>
      </c>
      <c r="BN116" s="294">
        <v>0</v>
      </c>
      <c r="BO116" s="294">
        <v>3600</v>
      </c>
      <c r="BP116" s="294">
        <v>0</v>
      </c>
      <c r="BQ116" s="294">
        <v>3600</v>
      </c>
      <c r="BR116" s="294">
        <v>0</v>
      </c>
      <c r="BS116" s="294">
        <v>29289</v>
      </c>
      <c r="BT116" s="294">
        <v>29289</v>
      </c>
      <c r="BU116" s="294">
        <v>0</v>
      </c>
      <c r="BV116" s="294">
        <v>0</v>
      </c>
      <c r="BW116" s="294">
        <v>0</v>
      </c>
      <c r="BX116" s="294">
        <v>0</v>
      </c>
      <c r="BY116" s="294">
        <v>0</v>
      </c>
      <c r="BZ116" s="294">
        <v>0</v>
      </c>
      <c r="CA116" s="294">
        <v>0</v>
      </c>
      <c r="CB116" s="294">
        <v>0</v>
      </c>
      <c r="CC116" s="294">
        <v>0</v>
      </c>
      <c r="CD116" s="294">
        <v>1177180.0599999989</v>
      </c>
      <c r="CE116" s="294">
        <v>0</v>
      </c>
      <c r="CF116" s="294">
        <v>29289</v>
      </c>
      <c r="CG116" s="294">
        <v>0</v>
      </c>
      <c r="CH116" s="294">
        <v>0</v>
      </c>
      <c r="CI116" s="294">
        <f t="shared" si="1"/>
        <v>1206469.0599999989</v>
      </c>
      <c r="CJ116" s="294">
        <v>1416074.64</v>
      </c>
      <c r="CK116" s="294">
        <v>0</v>
      </c>
      <c r="CL116" s="294">
        <v>0</v>
      </c>
      <c r="CM116" s="294">
        <v>1416074.64</v>
      </c>
      <c r="CN116" s="294">
        <v>0</v>
      </c>
      <c r="CO116" s="294">
        <v>0</v>
      </c>
      <c r="CP116" s="294">
        <v>11932.34</v>
      </c>
      <c r="CQ116" s="294">
        <v>0</v>
      </c>
      <c r="CR116" s="294">
        <v>-214266.53</v>
      </c>
      <c r="CS116" s="294">
        <v>1213740.45</v>
      </c>
      <c r="CT116" s="294">
        <v>0</v>
      </c>
      <c r="CU116" s="294">
        <v>0</v>
      </c>
      <c r="CV116" s="294">
        <v>0</v>
      </c>
      <c r="CW116" s="294">
        <v>0</v>
      </c>
      <c r="CX116" s="294"/>
      <c r="CY116" s="294"/>
      <c r="CZ116" s="294"/>
      <c r="DA116" s="294">
        <v>0</v>
      </c>
      <c r="DB116" s="294">
        <v>0</v>
      </c>
      <c r="DC116" s="294">
        <v>0</v>
      </c>
      <c r="DD116" s="294">
        <v>36189.93</v>
      </c>
      <c r="DE116" s="294">
        <v>0</v>
      </c>
      <c r="DF116" s="294">
        <v>0</v>
      </c>
      <c r="DG116" s="294">
        <v>0</v>
      </c>
      <c r="DH116" s="294">
        <v>-43461.17</v>
      </c>
      <c r="DI116" s="294">
        <v>0</v>
      </c>
      <c r="DJ116" s="294">
        <v>0</v>
      </c>
      <c r="DK116" s="294">
        <v>-7271.239999999998</v>
      </c>
      <c r="DL116" s="294">
        <v>0</v>
      </c>
      <c r="DM116" s="294">
        <v>0</v>
      </c>
      <c r="DN116" s="294">
        <v>0</v>
      </c>
      <c r="DO116" s="294">
        <v>0</v>
      </c>
      <c r="DP116" s="294">
        <v>0</v>
      </c>
      <c r="DQ116" s="324">
        <v>-0.14999999990686774</v>
      </c>
      <c r="DR116" s="295">
        <v>2262698.3500000015</v>
      </c>
      <c r="DS116" s="325">
        <v>1147616.8999999994</v>
      </c>
      <c r="DT116" s="295">
        <v>63598.049999999945</v>
      </c>
      <c r="DU116" s="295">
        <v>48867.919999999991</v>
      </c>
      <c r="DV116" s="295">
        <v>134616.71</v>
      </c>
      <c r="DW116" s="295">
        <v>0</v>
      </c>
    </row>
    <row r="117" spans="1:127">
      <c r="A117" s="321">
        <v>2469</v>
      </c>
      <c r="B117" s="322" t="s">
        <v>440</v>
      </c>
      <c r="C117" s="321">
        <v>2469</v>
      </c>
      <c r="D117" s="323" t="s">
        <v>817</v>
      </c>
      <c r="E117" s="323" t="s">
        <v>539</v>
      </c>
      <c r="F117" s="323" t="s">
        <v>818</v>
      </c>
      <c r="G117" s="323" t="s">
        <v>537</v>
      </c>
      <c r="H117" s="294">
        <v>1871414</v>
      </c>
      <c r="I117" s="294">
        <v>0</v>
      </c>
      <c r="J117" s="294">
        <v>140015</v>
      </c>
      <c r="K117" s="294">
        <v>0</v>
      </c>
      <c r="L117" s="294">
        <v>198390</v>
      </c>
      <c r="M117" s="294">
        <v>0</v>
      </c>
      <c r="N117" s="294">
        <v>3205</v>
      </c>
      <c r="O117" s="294">
        <v>33415</v>
      </c>
      <c r="P117" s="294">
        <v>55973</v>
      </c>
      <c r="Q117" s="294">
        <v>0</v>
      </c>
      <c r="R117" s="294">
        <v>5000</v>
      </c>
      <c r="S117" s="294">
        <v>600</v>
      </c>
      <c r="T117" s="294">
        <v>17803</v>
      </c>
      <c r="U117" s="294">
        <v>133997</v>
      </c>
      <c r="V117" s="294">
        <v>0</v>
      </c>
      <c r="W117" s="294">
        <v>3198</v>
      </c>
      <c r="X117" s="294">
        <v>54082</v>
      </c>
      <c r="Y117" s="294">
        <v>2517092</v>
      </c>
      <c r="Z117" s="294">
        <v>1245880</v>
      </c>
      <c r="AA117" s="294">
        <v>0</v>
      </c>
      <c r="AB117" s="294">
        <v>318080</v>
      </c>
      <c r="AC117" s="294">
        <v>58607</v>
      </c>
      <c r="AD117" s="294">
        <v>279208</v>
      </c>
      <c r="AE117" s="294">
        <v>51604</v>
      </c>
      <c r="AF117" s="294">
        <v>74382</v>
      </c>
      <c r="AG117" s="294">
        <v>8953</v>
      </c>
      <c r="AH117" s="294">
        <v>1949</v>
      </c>
      <c r="AI117" s="294">
        <v>12695</v>
      </c>
      <c r="AJ117" s="294">
        <v>0</v>
      </c>
      <c r="AK117" s="294">
        <v>58578</v>
      </c>
      <c r="AL117" s="294">
        <v>7116</v>
      </c>
      <c r="AM117" s="294">
        <v>19474</v>
      </c>
      <c r="AN117" s="294">
        <v>17344</v>
      </c>
      <c r="AO117" s="294">
        <v>68788</v>
      </c>
      <c r="AP117" s="294">
        <v>25052</v>
      </c>
      <c r="AQ117" s="294">
        <v>87768</v>
      </c>
      <c r="AR117" s="294">
        <v>52328</v>
      </c>
      <c r="AS117" s="294">
        <v>2753</v>
      </c>
      <c r="AT117" s="294">
        <v>0</v>
      </c>
      <c r="AU117" s="294">
        <v>42033</v>
      </c>
      <c r="AV117" s="294">
        <v>9471</v>
      </c>
      <c r="AW117" s="294">
        <v>0</v>
      </c>
      <c r="AX117" s="294">
        <v>33769</v>
      </c>
      <c r="AY117" s="294">
        <v>3793</v>
      </c>
      <c r="AZ117" s="294">
        <v>8148</v>
      </c>
      <c r="BA117" s="294">
        <v>156092</v>
      </c>
      <c r="BB117" s="294">
        <v>0</v>
      </c>
      <c r="BC117" s="294">
        <v>0</v>
      </c>
      <c r="BD117" s="294">
        <v>0</v>
      </c>
      <c r="BE117" s="294">
        <v>2643865</v>
      </c>
      <c r="BF117" s="294">
        <v>413187</v>
      </c>
      <c r="BG117" s="294">
        <v>-126773</v>
      </c>
      <c r="BH117" s="294">
        <v>286414</v>
      </c>
      <c r="BI117" s="294">
        <v>7645</v>
      </c>
      <c r="BJ117" s="294">
        <v>0</v>
      </c>
      <c r="BK117" s="294">
        <v>0</v>
      </c>
      <c r="BL117" s="294">
        <v>7645</v>
      </c>
      <c r="BM117" s="294">
        <v>0</v>
      </c>
      <c r="BN117" s="294">
        <v>0</v>
      </c>
      <c r="BO117" s="294">
        <v>0</v>
      </c>
      <c r="BP117" s="294">
        <v>0</v>
      </c>
      <c r="BQ117" s="294">
        <v>0</v>
      </c>
      <c r="BR117" s="294">
        <v>0</v>
      </c>
      <c r="BS117" s="294">
        <v>7645</v>
      </c>
      <c r="BT117" s="294">
        <v>7645</v>
      </c>
      <c r="BU117" s="294">
        <v>0</v>
      </c>
      <c r="BV117" s="294">
        <v>0</v>
      </c>
      <c r="BW117" s="294">
        <v>0</v>
      </c>
      <c r="BX117" s="294">
        <v>0</v>
      </c>
      <c r="BY117" s="294">
        <v>0</v>
      </c>
      <c r="BZ117" s="294">
        <v>0</v>
      </c>
      <c r="CA117" s="294">
        <v>0</v>
      </c>
      <c r="CB117" s="294">
        <v>0</v>
      </c>
      <c r="CC117" s="294">
        <v>0</v>
      </c>
      <c r="CD117" s="294">
        <v>286414</v>
      </c>
      <c r="CE117" s="294">
        <v>0</v>
      </c>
      <c r="CF117" s="294">
        <v>7645</v>
      </c>
      <c r="CG117" s="294">
        <v>0</v>
      </c>
      <c r="CH117" s="294">
        <v>0</v>
      </c>
      <c r="CI117" s="294">
        <f t="shared" si="1"/>
        <v>294059</v>
      </c>
      <c r="CJ117" s="294">
        <v>514454</v>
      </c>
      <c r="CK117" s="294">
        <v>0</v>
      </c>
      <c r="CL117" s="294">
        <v>953</v>
      </c>
      <c r="CM117" s="294">
        <v>515406</v>
      </c>
      <c r="CN117" s="294">
        <v>225</v>
      </c>
      <c r="CO117" s="294">
        <v>0</v>
      </c>
      <c r="CP117" s="294">
        <v>-39596</v>
      </c>
      <c r="CQ117" s="294">
        <v>0</v>
      </c>
      <c r="CR117" s="294">
        <v>-221493</v>
      </c>
      <c r="CS117" s="294">
        <v>254543</v>
      </c>
      <c r="CT117" s="294">
        <v>0</v>
      </c>
      <c r="CU117" s="294">
        <v>0</v>
      </c>
      <c r="CV117" s="294">
        <v>0</v>
      </c>
      <c r="CW117" s="294">
        <v>0</v>
      </c>
      <c r="CX117" s="294"/>
      <c r="CY117" s="294"/>
      <c r="CZ117" s="294"/>
      <c r="DA117" s="294">
        <v>0</v>
      </c>
      <c r="DB117" s="294">
        <v>0</v>
      </c>
      <c r="DC117" s="294">
        <v>32158</v>
      </c>
      <c r="DD117" s="294">
        <v>14706</v>
      </c>
      <c r="DE117" s="294">
        <v>0</v>
      </c>
      <c r="DF117" s="294">
        <v>0</v>
      </c>
      <c r="DG117" s="294">
        <v>-6725</v>
      </c>
      <c r="DH117" s="294">
        <v>0</v>
      </c>
      <c r="DI117" s="294">
        <v>0</v>
      </c>
      <c r="DJ117" s="294">
        <v>0</v>
      </c>
      <c r="DK117" s="294">
        <v>40139</v>
      </c>
      <c r="DL117" s="294">
        <v>0</v>
      </c>
      <c r="DM117" s="294">
        <v>0</v>
      </c>
      <c r="DN117" s="294">
        <v>0</v>
      </c>
      <c r="DO117" s="294">
        <v>0</v>
      </c>
      <c r="DP117" s="294">
        <v>-623</v>
      </c>
      <c r="DQ117" s="324">
        <v>-0.27</v>
      </c>
      <c r="DR117" s="295">
        <v>2036714</v>
      </c>
      <c r="DS117" s="325">
        <v>607151</v>
      </c>
      <c r="DT117" s="295">
        <v>3793</v>
      </c>
      <c r="DU117" s="295">
        <v>107191</v>
      </c>
      <c r="DV117" s="295">
        <v>139597</v>
      </c>
      <c r="DW117" s="295">
        <v>-623</v>
      </c>
    </row>
    <row r="118" spans="1:127">
      <c r="A118" s="321">
        <v>3431</v>
      </c>
      <c r="B118" s="322" t="s">
        <v>441</v>
      </c>
      <c r="C118" s="321">
        <v>3431</v>
      </c>
      <c r="D118" s="323" t="s">
        <v>817</v>
      </c>
      <c r="E118" s="323" t="s">
        <v>539</v>
      </c>
      <c r="F118" s="323" t="s">
        <v>818</v>
      </c>
      <c r="G118" s="323" t="s">
        <v>800</v>
      </c>
      <c r="H118" s="294">
        <v>3397134.28</v>
      </c>
      <c r="I118" s="294">
        <v>0</v>
      </c>
      <c r="J118" s="294">
        <v>137789.84</v>
      </c>
      <c r="K118" s="294">
        <v>0</v>
      </c>
      <c r="L118" s="294">
        <v>186620</v>
      </c>
      <c r="M118" s="294">
        <v>6106.93</v>
      </c>
      <c r="N118" s="294">
        <v>0</v>
      </c>
      <c r="O118" s="294">
        <v>0</v>
      </c>
      <c r="P118" s="294">
        <v>155478.23000000001</v>
      </c>
      <c r="Q118" s="294">
        <v>267</v>
      </c>
      <c r="R118" s="294">
        <v>0</v>
      </c>
      <c r="S118" s="294">
        <v>0</v>
      </c>
      <c r="T118" s="294">
        <v>107070.78000000003</v>
      </c>
      <c r="U118" s="294">
        <v>53496</v>
      </c>
      <c r="V118" s="294">
        <v>0</v>
      </c>
      <c r="W118" s="294">
        <v>9575</v>
      </c>
      <c r="X118" s="294">
        <v>128509</v>
      </c>
      <c r="Y118" s="294">
        <v>4182047.0599999996</v>
      </c>
      <c r="Z118" s="294">
        <v>2100958.5200000056</v>
      </c>
      <c r="AA118" s="294">
        <v>0</v>
      </c>
      <c r="AB118" s="294">
        <v>768635.06</v>
      </c>
      <c r="AC118" s="294">
        <v>42209</v>
      </c>
      <c r="AD118" s="294">
        <v>178249.81999999998</v>
      </c>
      <c r="AE118" s="294">
        <v>0</v>
      </c>
      <c r="AF118" s="294">
        <v>264357.52999999991</v>
      </c>
      <c r="AG118" s="294">
        <v>1952.9000000000074</v>
      </c>
      <c r="AH118" s="294">
        <v>2987</v>
      </c>
      <c r="AI118" s="294">
        <v>0</v>
      </c>
      <c r="AJ118" s="294">
        <v>0</v>
      </c>
      <c r="AK118" s="294">
        <v>25761</v>
      </c>
      <c r="AL118" s="294">
        <v>2169.16</v>
      </c>
      <c r="AM118" s="294">
        <v>75549.999999999985</v>
      </c>
      <c r="AN118" s="294">
        <v>19852.999999999996</v>
      </c>
      <c r="AO118" s="294">
        <v>71536</v>
      </c>
      <c r="AP118" s="294">
        <v>109798.62</v>
      </c>
      <c r="AQ118" s="294">
        <v>19849</v>
      </c>
      <c r="AR118" s="294">
        <v>163771.06000000003</v>
      </c>
      <c r="AS118" s="294">
        <v>6704</v>
      </c>
      <c r="AT118" s="294">
        <v>0</v>
      </c>
      <c r="AU118" s="294">
        <v>29586.000000000025</v>
      </c>
      <c r="AV118" s="294">
        <v>18745.650000000001</v>
      </c>
      <c r="AW118" s="294">
        <v>0</v>
      </c>
      <c r="AX118" s="294">
        <v>133291</v>
      </c>
      <c r="AY118" s="294">
        <v>72117.000000000058</v>
      </c>
      <c r="AZ118" s="294">
        <v>120147.95999999999</v>
      </c>
      <c r="BA118" s="294">
        <v>44469</v>
      </c>
      <c r="BB118" s="294">
        <v>0</v>
      </c>
      <c r="BC118" s="294">
        <v>0</v>
      </c>
      <c r="BD118" s="294">
        <v>0</v>
      </c>
      <c r="BE118" s="294">
        <v>4272698.2800000058</v>
      </c>
      <c r="BF118" s="294">
        <v>-145985.84000000134</v>
      </c>
      <c r="BG118" s="294">
        <v>-90651.220000006258</v>
      </c>
      <c r="BH118" s="294">
        <v>-236637.06000000759</v>
      </c>
      <c r="BI118" s="294">
        <v>11413.75</v>
      </c>
      <c r="BJ118" s="294">
        <v>0</v>
      </c>
      <c r="BK118" s="294">
        <v>0</v>
      </c>
      <c r="BL118" s="294">
        <v>11413.75</v>
      </c>
      <c r="BM118" s="294">
        <v>0</v>
      </c>
      <c r="BN118" s="294">
        <v>34318.879999999997</v>
      </c>
      <c r="BO118" s="294">
        <v>0</v>
      </c>
      <c r="BP118" s="294">
        <v>0</v>
      </c>
      <c r="BQ118" s="294">
        <v>34318.879999999997</v>
      </c>
      <c r="BR118" s="294">
        <v>53772.5</v>
      </c>
      <c r="BS118" s="294">
        <v>-22905.129999999997</v>
      </c>
      <c r="BT118" s="294">
        <v>30867.370000000003</v>
      </c>
      <c r="BU118" s="294">
        <v>0</v>
      </c>
      <c r="BV118" s="294">
        <v>0</v>
      </c>
      <c r="BW118" s="294">
        <v>0</v>
      </c>
      <c r="BX118" s="294">
        <v>0</v>
      </c>
      <c r="BY118" s="294">
        <v>0</v>
      </c>
      <c r="BZ118" s="294">
        <v>0</v>
      </c>
      <c r="CA118" s="294">
        <v>0</v>
      </c>
      <c r="CB118" s="294">
        <v>0</v>
      </c>
      <c r="CC118" s="294">
        <v>0</v>
      </c>
      <c r="CD118" s="294">
        <v>-236637.06</v>
      </c>
      <c r="CE118" s="294">
        <v>0</v>
      </c>
      <c r="CF118" s="294">
        <v>30867.37</v>
      </c>
      <c r="CG118" s="294">
        <v>0</v>
      </c>
      <c r="CH118" s="294">
        <v>0</v>
      </c>
      <c r="CI118" s="294">
        <f t="shared" si="1"/>
        <v>-205769.69</v>
      </c>
      <c r="CJ118" s="294">
        <v>0</v>
      </c>
      <c r="CK118" s="294">
        <v>0</v>
      </c>
      <c r="CL118" s="294">
        <v>0</v>
      </c>
      <c r="CM118" s="294">
        <v>0</v>
      </c>
      <c r="CN118" s="294">
        <v>0</v>
      </c>
      <c r="CO118" s="294">
        <v>0</v>
      </c>
      <c r="CP118" s="294">
        <v>0</v>
      </c>
      <c r="CQ118" s="294">
        <v>0</v>
      </c>
      <c r="CR118" s="294">
        <v>0</v>
      </c>
      <c r="CS118" s="294">
        <v>0</v>
      </c>
      <c r="CT118" s="294">
        <v>0</v>
      </c>
      <c r="CU118" s="294">
        <v>0</v>
      </c>
      <c r="CV118" s="294">
        <v>0</v>
      </c>
      <c r="CW118" s="294">
        <v>0</v>
      </c>
      <c r="CX118" s="294"/>
      <c r="CY118" s="294"/>
      <c r="CZ118" s="294"/>
      <c r="DA118" s="294">
        <v>-174855.5000000076</v>
      </c>
      <c r="DB118" s="294">
        <v>-174855.5000000076</v>
      </c>
      <c r="DC118" s="294">
        <v>0</v>
      </c>
      <c r="DD118" s="294">
        <v>59.23</v>
      </c>
      <c r="DE118" s="294">
        <v>0</v>
      </c>
      <c r="DF118" s="294">
        <v>0</v>
      </c>
      <c r="DG118" s="294">
        <v>-27658.52</v>
      </c>
      <c r="DH118" s="294">
        <v>-3314.9</v>
      </c>
      <c r="DI118" s="294">
        <v>0</v>
      </c>
      <c r="DJ118" s="294">
        <v>0</v>
      </c>
      <c r="DK118" s="294">
        <v>-30914.190000000002</v>
      </c>
      <c r="DL118" s="294">
        <v>0</v>
      </c>
      <c r="DM118" s="294">
        <v>0</v>
      </c>
      <c r="DN118" s="294">
        <v>0</v>
      </c>
      <c r="DO118" s="294">
        <v>0</v>
      </c>
      <c r="DP118" s="294">
        <v>0</v>
      </c>
      <c r="DQ118" s="324">
        <v>7.5960997492074966E-9</v>
      </c>
      <c r="DR118" s="295">
        <v>3356362.8300000052</v>
      </c>
      <c r="DS118" s="325">
        <v>916335.45000000065</v>
      </c>
      <c r="DT118" s="295">
        <v>72117.000000000058</v>
      </c>
      <c r="DU118" s="295">
        <v>262816.01</v>
      </c>
      <c r="DV118" s="295">
        <v>53496</v>
      </c>
      <c r="DW118" s="295">
        <v>0</v>
      </c>
    </row>
    <row r="119" spans="1:127">
      <c r="A119" s="321">
        <v>1028</v>
      </c>
      <c r="B119" s="322" t="s">
        <v>442</v>
      </c>
      <c r="C119" s="321">
        <v>1028</v>
      </c>
      <c r="D119" s="323" t="s">
        <v>817</v>
      </c>
      <c r="E119" s="323" t="s">
        <v>536</v>
      </c>
      <c r="F119" s="323" t="s">
        <v>818</v>
      </c>
      <c r="G119" s="323" t="s">
        <v>800</v>
      </c>
      <c r="H119" s="294">
        <v>604124.99517986691</v>
      </c>
      <c r="I119" s="294">
        <v>0</v>
      </c>
      <c r="J119" s="294">
        <v>7320.8033333333351</v>
      </c>
      <c r="K119" s="294">
        <v>0</v>
      </c>
      <c r="L119" s="294">
        <v>0</v>
      </c>
      <c r="M119" s="294">
        <v>200</v>
      </c>
      <c r="N119" s="294">
        <v>31628.5</v>
      </c>
      <c r="O119" s="294">
        <v>0</v>
      </c>
      <c r="P119" s="294">
        <v>0</v>
      </c>
      <c r="Q119" s="294">
        <v>0</v>
      </c>
      <c r="R119" s="294">
        <v>0</v>
      </c>
      <c r="S119" s="294">
        <v>3498.65</v>
      </c>
      <c r="T119" s="294">
        <v>3115.8</v>
      </c>
      <c r="U119" s="294">
        <v>0</v>
      </c>
      <c r="V119" s="294">
        <v>0</v>
      </c>
      <c r="W119" s="294">
        <v>0</v>
      </c>
      <c r="X119" s="294">
        <v>0</v>
      </c>
      <c r="Y119" s="294">
        <v>649888.74851320032</v>
      </c>
      <c r="Z119" s="294">
        <v>103867.86000000003</v>
      </c>
      <c r="AA119" s="294">
        <v>0</v>
      </c>
      <c r="AB119" s="294">
        <v>183057.10999999987</v>
      </c>
      <c r="AC119" s="294">
        <v>17063.8</v>
      </c>
      <c r="AD119" s="294">
        <v>146896.25</v>
      </c>
      <c r="AE119" s="294">
        <v>0</v>
      </c>
      <c r="AF119" s="294">
        <v>4678.8300000000008</v>
      </c>
      <c r="AG119" s="294">
        <v>-5421.1500000000051</v>
      </c>
      <c r="AH119" s="294">
        <v>2255.58</v>
      </c>
      <c r="AI119" s="294">
        <v>0</v>
      </c>
      <c r="AJ119" s="294">
        <v>0</v>
      </c>
      <c r="AK119" s="294">
        <v>17167.760000000006</v>
      </c>
      <c r="AL119" s="294">
        <v>2399.02</v>
      </c>
      <c r="AM119" s="294">
        <v>18464.009999999998</v>
      </c>
      <c r="AN119" s="294">
        <v>1122.5900000000001</v>
      </c>
      <c r="AO119" s="294">
        <v>10529.03</v>
      </c>
      <c r="AP119" s="294">
        <v>0</v>
      </c>
      <c r="AQ119" s="294">
        <v>16850.539999999997</v>
      </c>
      <c r="AR119" s="294">
        <v>11561.909999999998</v>
      </c>
      <c r="AS119" s="294">
        <v>1.999999999998181E-2</v>
      </c>
      <c r="AT119" s="294">
        <v>0</v>
      </c>
      <c r="AU119" s="294">
        <v>11684.77</v>
      </c>
      <c r="AV119" s="294">
        <v>3291.75</v>
      </c>
      <c r="AW119" s="294">
        <v>0</v>
      </c>
      <c r="AX119" s="294">
        <v>5628.73</v>
      </c>
      <c r="AY119" s="294">
        <v>46802.67</v>
      </c>
      <c r="AZ119" s="294">
        <v>96.16</v>
      </c>
      <c r="BA119" s="294">
        <v>76469.399999999994</v>
      </c>
      <c r="BB119" s="294">
        <v>0</v>
      </c>
      <c r="BC119" s="294">
        <v>0</v>
      </c>
      <c r="BD119" s="294">
        <v>0</v>
      </c>
      <c r="BE119" s="294">
        <v>674466.64000000013</v>
      </c>
      <c r="BF119" s="294">
        <v>-82912.920000000086</v>
      </c>
      <c r="BG119" s="294">
        <v>-24577.89148679981</v>
      </c>
      <c r="BH119" s="294">
        <v>-107490.8114867999</v>
      </c>
      <c r="BI119" s="294">
        <v>4762.75</v>
      </c>
      <c r="BJ119" s="294">
        <v>0</v>
      </c>
      <c r="BK119" s="294">
        <v>0</v>
      </c>
      <c r="BL119" s="294">
        <v>4762.75</v>
      </c>
      <c r="BM119" s="294">
        <v>4615</v>
      </c>
      <c r="BN119" s="294">
        <v>0</v>
      </c>
      <c r="BO119" s="294">
        <v>0</v>
      </c>
      <c r="BP119" s="294">
        <v>0</v>
      </c>
      <c r="BQ119" s="294">
        <v>4615</v>
      </c>
      <c r="BR119" s="294">
        <v>0</v>
      </c>
      <c r="BS119" s="294">
        <v>147.75</v>
      </c>
      <c r="BT119" s="294">
        <v>147.75</v>
      </c>
      <c r="BU119" s="294">
        <v>0</v>
      </c>
      <c r="BV119" s="294">
        <v>0</v>
      </c>
      <c r="BW119" s="294">
        <v>0</v>
      </c>
      <c r="BX119" s="294">
        <v>0</v>
      </c>
      <c r="BY119" s="294">
        <v>0</v>
      </c>
      <c r="BZ119" s="294">
        <v>0</v>
      </c>
      <c r="CA119" s="294">
        <v>0</v>
      </c>
      <c r="CB119" s="294">
        <v>0</v>
      </c>
      <c r="CC119" s="294">
        <v>0</v>
      </c>
      <c r="CD119" s="294">
        <v>-107490.8114867999</v>
      </c>
      <c r="CE119" s="294">
        <v>0</v>
      </c>
      <c r="CF119" s="294">
        <v>147.75</v>
      </c>
      <c r="CG119" s="294">
        <v>0</v>
      </c>
      <c r="CH119" s="294">
        <v>0</v>
      </c>
      <c r="CI119" s="294">
        <f t="shared" si="1"/>
        <v>-107343.0614867999</v>
      </c>
      <c r="CJ119" s="294">
        <v>0</v>
      </c>
      <c r="CK119" s="294">
        <v>0</v>
      </c>
      <c r="CL119" s="294">
        <v>0</v>
      </c>
      <c r="CM119" s="294">
        <v>0</v>
      </c>
      <c r="CN119" s="294">
        <v>0</v>
      </c>
      <c r="CO119" s="294">
        <v>0</v>
      </c>
      <c r="CP119" s="294">
        <v>0</v>
      </c>
      <c r="CQ119" s="294">
        <v>0</v>
      </c>
      <c r="CR119" s="294">
        <v>0</v>
      </c>
      <c r="CS119" s="294">
        <v>0</v>
      </c>
      <c r="CT119" s="294">
        <v>0</v>
      </c>
      <c r="CU119" s="294">
        <v>0</v>
      </c>
      <c r="CV119" s="294">
        <v>0</v>
      </c>
      <c r="CW119" s="294">
        <v>0</v>
      </c>
      <c r="CX119" s="294"/>
      <c r="CY119" s="294"/>
      <c r="CZ119" s="294"/>
      <c r="DA119" s="294">
        <v>-88260.5814867999</v>
      </c>
      <c r="DB119" s="294">
        <v>-88260.5814867999</v>
      </c>
      <c r="DC119" s="294">
        <v>0</v>
      </c>
      <c r="DD119" s="294">
        <v>0</v>
      </c>
      <c r="DE119" s="294">
        <v>0</v>
      </c>
      <c r="DF119" s="294">
        <v>0</v>
      </c>
      <c r="DG119" s="294">
        <v>-19082.48</v>
      </c>
      <c r="DH119" s="294">
        <v>0</v>
      </c>
      <c r="DI119" s="294">
        <v>0</v>
      </c>
      <c r="DJ119" s="294">
        <v>0</v>
      </c>
      <c r="DK119" s="294">
        <v>-19082.48</v>
      </c>
      <c r="DL119" s="294">
        <v>0</v>
      </c>
      <c r="DM119" s="294">
        <v>0</v>
      </c>
      <c r="DN119" s="294">
        <v>0</v>
      </c>
      <c r="DO119" s="294">
        <v>0</v>
      </c>
      <c r="DP119" s="294">
        <v>0</v>
      </c>
      <c r="DQ119" s="324">
        <v>0</v>
      </c>
      <c r="DR119" s="295">
        <v>450142.6999999999</v>
      </c>
      <c r="DS119" s="325">
        <v>224323.94000000024</v>
      </c>
      <c r="DT119" s="295">
        <v>46802.67</v>
      </c>
      <c r="DU119" s="295">
        <v>3115.8</v>
      </c>
      <c r="DV119" s="295">
        <v>3498.65</v>
      </c>
      <c r="DW119" s="295">
        <v>0</v>
      </c>
    </row>
    <row r="120" spans="1:127">
      <c r="A120" s="321">
        <v>1049</v>
      </c>
      <c r="B120" s="322" t="s">
        <v>443</v>
      </c>
      <c r="C120" s="321">
        <v>1049</v>
      </c>
      <c r="D120" s="323" t="s">
        <v>817</v>
      </c>
      <c r="E120" s="323" t="s">
        <v>536</v>
      </c>
      <c r="F120" s="323" t="s">
        <v>818</v>
      </c>
      <c r="G120" s="323" t="s">
        <v>537</v>
      </c>
      <c r="H120" s="294">
        <v>838185.16</v>
      </c>
      <c r="I120" s="294">
        <v>0</v>
      </c>
      <c r="J120" s="294">
        <v>34092.26</v>
      </c>
      <c r="K120" s="294">
        <v>0</v>
      </c>
      <c r="L120" s="294">
        <v>0</v>
      </c>
      <c r="M120" s="294">
        <v>0</v>
      </c>
      <c r="N120" s="294">
        <v>11203.35</v>
      </c>
      <c r="O120" s="294">
        <v>0</v>
      </c>
      <c r="P120" s="294">
        <v>27230.809999999998</v>
      </c>
      <c r="Q120" s="294">
        <v>0</v>
      </c>
      <c r="R120" s="294">
        <v>0</v>
      </c>
      <c r="S120" s="294">
        <v>0</v>
      </c>
      <c r="T120" s="294">
        <v>10847.370000000003</v>
      </c>
      <c r="U120" s="294">
        <v>0</v>
      </c>
      <c r="V120" s="294">
        <v>0</v>
      </c>
      <c r="W120" s="294">
        <v>0</v>
      </c>
      <c r="X120" s="294">
        <v>0</v>
      </c>
      <c r="Y120" s="294">
        <v>921558.95000000007</v>
      </c>
      <c r="Z120" s="294">
        <v>233609.11000000022</v>
      </c>
      <c r="AA120" s="294">
        <v>0</v>
      </c>
      <c r="AB120" s="294">
        <v>183725.1</v>
      </c>
      <c r="AC120" s="294">
        <v>28815.919999999824</v>
      </c>
      <c r="AD120" s="294">
        <v>124059.82</v>
      </c>
      <c r="AE120" s="294">
        <v>0</v>
      </c>
      <c r="AF120" s="294">
        <v>19638.650000000111</v>
      </c>
      <c r="AG120" s="294">
        <v>1546.9800000000014</v>
      </c>
      <c r="AH120" s="294">
        <v>145</v>
      </c>
      <c r="AI120" s="294">
        <v>0</v>
      </c>
      <c r="AJ120" s="294">
        <v>0</v>
      </c>
      <c r="AK120" s="294">
        <v>16990.200000000004</v>
      </c>
      <c r="AL120" s="294">
        <v>4698.67</v>
      </c>
      <c r="AM120" s="294">
        <v>7458.5</v>
      </c>
      <c r="AN120" s="294">
        <v>251.26</v>
      </c>
      <c r="AO120" s="294">
        <v>9030.09</v>
      </c>
      <c r="AP120" s="294">
        <v>0</v>
      </c>
      <c r="AQ120" s="294">
        <v>10060.740000000002</v>
      </c>
      <c r="AR120" s="294">
        <v>6260.1199999999944</v>
      </c>
      <c r="AS120" s="294">
        <v>6105</v>
      </c>
      <c r="AT120" s="294">
        <v>0</v>
      </c>
      <c r="AU120" s="294">
        <v>17577.699999999993</v>
      </c>
      <c r="AV120" s="294">
        <v>3291.75</v>
      </c>
      <c r="AW120" s="294">
        <v>0</v>
      </c>
      <c r="AX120" s="294">
        <v>12501.25</v>
      </c>
      <c r="AY120" s="294">
        <v>69776.930000000008</v>
      </c>
      <c r="AZ120" s="294">
        <v>502.43</v>
      </c>
      <c r="BA120" s="294">
        <v>120142.77</v>
      </c>
      <c r="BB120" s="294">
        <v>0</v>
      </c>
      <c r="BC120" s="294">
        <v>0</v>
      </c>
      <c r="BD120" s="294">
        <v>0</v>
      </c>
      <c r="BE120" s="294">
        <v>876187.99000000011</v>
      </c>
      <c r="BF120" s="294">
        <v>469472.30999999976</v>
      </c>
      <c r="BG120" s="294">
        <v>45370.959999999963</v>
      </c>
      <c r="BH120" s="294">
        <v>514843.26999999973</v>
      </c>
      <c r="BI120" s="294">
        <v>4722</v>
      </c>
      <c r="BJ120" s="294">
        <v>0</v>
      </c>
      <c r="BK120" s="294">
        <v>0</v>
      </c>
      <c r="BL120" s="294">
        <v>4722</v>
      </c>
      <c r="BM120" s="294">
        <v>0</v>
      </c>
      <c r="BN120" s="294">
        <v>1210</v>
      </c>
      <c r="BO120" s="294">
        <v>0</v>
      </c>
      <c r="BP120" s="294">
        <v>0</v>
      </c>
      <c r="BQ120" s="294">
        <v>1210</v>
      </c>
      <c r="BR120" s="294">
        <v>0</v>
      </c>
      <c r="BS120" s="294">
        <v>3512</v>
      </c>
      <c r="BT120" s="294">
        <v>3512</v>
      </c>
      <c r="BU120" s="294">
        <v>0</v>
      </c>
      <c r="BV120" s="294">
        <v>0</v>
      </c>
      <c r="BW120" s="294">
        <v>0</v>
      </c>
      <c r="BX120" s="294">
        <v>0</v>
      </c>
      <c r="BY120" s="294">
        <v>0</v>
      </c>
      <c r="BZ120" s="294">
        <v>0</v>
      </c>
      <c r="CA120" s="294">
        <v>0</v>
      </c>
      <c r="CB120" s="294">
        <v>0</v>
      </c>
      <c r="CC120" s="294">
        <v>0</v>
      </c>
      <c r="CD120" s="294">
        <v>514843.26999999973</v>
      </c>
      <c r="CE120" s="294">
        <v>0</v>
      </c>
      <c r="CF120" s="294">
        <v>3512</v>
      </c>
      <c r="CG120" s="294">
        <v>0</v>
      </c>
      <c r="CH120" s="294">
        <v>0</v>
      </c>
      <c r="CI120" s="294">
        <f t="shared" si="1"/>
        <v>518355.26999999973</v>
      </c>
      <c r="CJ120" s="294">
        <v>146420.09</v>
      </c>
      <c r="CK120" s="294">
        <v>147430.37</v>
      </c>
      <c r="CL120" s="294">
        <v>0</v>
      </c>
      <c r="CM120" s="294">
        <v>-1010.2799999999988</v>
      </c>
      <c r="CN120" s="294">
        <v>0</v>
      </c>
      <c r="CO120" s="294">
        <v>0</v>
      </c>
      <c r="CP120" s="294">
        <v>4057.68</v>
      </c>
      <c r="CQ120" s="294">
        <v>0</v>
      </c>
      <c r="CR120" s="294">
        <v>0</v>
      </c>
      <c r="CS120" s="294">
        <v>3047.400000000001</v>
      </c>
      <c r="CT120" s="294">
        <v>400090.41</v>
      </c>
      <c r="CU120" s="294">
        <v>0</v>
      </c>
      <c r="CV120" s="294">
        <v>0</v>
      </c>
      <c r="CW120" s="294">
        <v>400090.41</v>
      </c>
      <c r="CX120" s="294"/>
      <c r="CY120" s="294"/>
      <c r="CZ120" s="294"/>
      <c r="DA120" s="294">
        <v>0</v>
      </c>
      <c r="DB120" s="294">
        <v>400090.41</v>
      </c>
      <c r="DC120" s="294">
        <v>0</v>
      </c>
      <c r="DD120" s="294">
        <v>13688.74</v>
      </c>
      <c r="DE120" s="294">
        <v>0</v>
      </c>
      <c r="DF120" s="294">
        <v>0</v>
      </c>
      <c r="DG120" s="294">
        <v>0</v>
      </c>
      <c r="DH120" s="294">
        <v>-578.4</v>
      </c>
      <c r="DI120" s="294">
        <v>0</v>
      </c>
      <c r="DJ120" s="294">
        <v>0</v>
      </c>
      <c r="DK120" s="294">
        <v>13110.34</v>
      </c>
      <c r="DL120" s="294">
        <v>102107</v>
      </c>
      <c r="DM120" s="294">
        <v>0</v>
      </c>
      <c r="DN120" s="294">
        <v>0</v>
      </c>
      <c r="DO120" s="294">
        <v>0</v>
      </c>
      <c r="DP120" s="294">
        <v>0</v>
      </c>
      <c r="DQ120" s="324">
        <v>0.11999999999534339</v>
      </c>
      <c r="DR120" s="295">
        <v>591395.58000000007</v>
      </c>
      <c r="DS120" s="325">
        <v>284792.41000000003</v>
      </c>
      <c r="DT120" s="295">
        <v>69776.930000000008</v>
      </c>
      <c r="DU120" s="295">
        <v>38078.18</v>
      </c>
      <c r="DV120" s="295">
        <v>0</v>
      </c>
      <c r="DW120" s="295">
        <v>102107</v>
      </c>
    </row>
    <row r="121" spans="1:127">
      <c r="A121" s="321">
        <v>7053</v>
      </c>
      <c r="B121" s="322" t="s">
        <v>366</v>
      </c>
      <c r="C121" s="321">
        <v>7053</v>
      </c>
      <c r="D121" s="323" t="s">
        <v>817</v>
      </c>
      <c r="E121" s="323" t="s">
        <v>541</v>
      </c>
      <c r="F121" s="323" t="s">
        <v>818</v>
      </c>
      <c r="G121" s="323" t="s">
        <v>537</v>
      </c>
      <c r="H121" s="294">
        <v>2125886</v>
      </c>
      <c r="I121" s="294">
        <v>0</v>
      </c>
      <c r="J121" s="294">
        <v>2635810</v>
      </c>
      <c r="K121" s="294">
        <v>0</v>
      </c>
      <c r="L121" s="294">
        <v>91350</v>
      </c>
      <c r="M121" s="294">
        <v>3086</v>
      </c>
      <c r="N121" s="294">
        <v>0</v>
      </c>
      <c r="O121" s="294">
        <v>0</v>
      </c>
      <c r="P121" s="294">
        <v>133812</v>
      </c>
      <c r="Q121" s="294">
        <v>1668</v>
      </c>
      <c r="R121" s="294">
        <v>0</v>
      </c>
      <c r="S121" s="294">
        <v>0</v>
      </c>
      <c r="T121" s="294">
        <v>0</v>
      </c>
      <c r="U121" s="294">
        <v>98785</v>
      </c>
      <c r="V121" s="294">
        <v>0</v>
      </c>
      <c r="W121" s="294">
        <v>36106</v>
      </c>
      <c r="X121" s="294">
        <v>0</v>
      </c>
      <c r="Y121" s="294">
        <v>5126503</v>
      </c>
      <c r="Z121" s="294">
        <v>1553078</v>
      </c>
      <c r="AA121" s="294">
        <v>0</v>
      </c>
      <c r="AB121" s="294">
        <v>1238683</v>
      </c>
      <c r="AC121" s="294">
        <v>80226</v>
      </c>
      <c r="AD121" s="294">
        <v>368347</v>
      </c>
      <c r="AE121" s="294">
        <v>0</v>
      </c>
      <c r="AF121" s="294">
        <v>173519</v>
      </c>
      <c r="AG121" s="294">
        <v>20255</v>
      </c>
      <c r="AH121" s="294">
        <v>28048</v>
      </c>
      <c r="AI121" s="294">
        <v>0</v>
      </c>
      <c r="AJ121" s="294">
        <v>0</v>
      </c>
      <c r="AK121" s="294">
        <v>12173</v>
      </c>
      <c r="AL121" s="294">
        <v>6054</v>
      </c>
      <c r="AM121" s="294">
        <v>35413</v>
      </c>
      <c r="AN121" s="294">
        <v>530</v>
      </c>
      <c r="AO121" s="294">
        <v>4642</v>
      </c>
      <c r="AP121" s="294">
        <v>0</v>
      </c>
      <c r="AQ121" s="294">
        <v>40253</v>
      </c>
      <c r="AR121" s="294">
        <v>602604</v>
      </c>
      <c r="AS121" s="294">
        <v>1753</v>
      </c>
      <c r="AT121" s="294">
        <v>21968</v>
      </c>
      <c r="AU121" s="294">
        <v>64022</v>
      </c>
      <c r="AV121" s="294">
        <v>5140</v>
      </c>
      <c r="AW121" s="294">
        <v>0</v>
      </c>
      <c r="AX121" s="294">
        <v>157800.94</v>
      </c>
      <c r="AY121" s="294">
        <v>649683</v>
      </c>
      <c r="AZ121" s="294">
        <v>36940</v>
      </c>
      <c r="BA121" s="294">
        <v>235346</v>
      </c>
      <c r="BB121" s="294">
        <v>0</v>
      </c>
      <c r="BC121" s="294">
        <v>0</v>
      </c>
      <c r="BD121" s="294">
        <v>0</v>
      </c>
      <c r="BE121" s="294">
        <v>5336480.9400000004</v>
      </c>
      <c r="BF121" s="294">
        <v>635678</v>
      </c>
      <c r="BG121" s="294">
        <v>-209977.94000000041</v>
      </c>
      <c r="BH121" s="294">
        <v>425700.05999999959</v>
      </c>
      <c r="BI121" s="294">
        <v>12961</v>
      </c>
      <c r="BJ121" s="294">
        <v>0</v>
      </c>
      <c r="BK121" s="294">
        <v>0</v>
      </c>
      <c r="BL121" s="294">
        <v>12961</v>
      </c>
      <c r="BM121" s="294">
        <v>0</v>
      </c>
      <c r="BN121" s="294">
        <v>0</v>
      </c>
      <c r="BO121" s="294">
        <v>0</v>
      </c>
      <c r="BP121" s="294">
        <v>0</v>
      </c>
      <c r="BQ121" s="294">
        <v>0</v>
      </c>
      <c r="BR121" s="294">
        <v>37204</v>
      </c>
      <c r="BS121" s="294">
        <v>12961</v>
      </c>
      <c r="BT121" s="294">
        <v>50165</v>
      </c>
      <c r="BU121" s="294">
        <v>0</v>
      </c>
      <c r="BV121" s="294">
        <v>0</v>
      </c>
      <c r="BW121" s="294">
        <v>0</v>
      </c>
      <c r="BX121" s="294">
        <v>0</v>
      </c>
      <c r="BY121" s="294">
        <v>0</v>
      </c>
      <c r="BZ121" s="294">
        <v>0</v>
      </c>
      <c r="CA121" s="294">
        <v>0</v>
      </c>
      <c r="CB121" s="294">
        <v>0</v>
      </c>
      <c r="CC121" s="294">
        <v>0</v>
      </c>
      <c r="CD121" s="294">
        <v>425700.05999999959</v>
      </c>
      <c r="CE121" s="294">
        <v>0</v>
      </c>
      <c r="CF121" s="294">
        <v>50165</v>
      </c>
      <c r="CG121" s="294">
        <v>0</v>
      </c>
      <c r="CH121" s="294">
        <v>0</v>
      </c>
      <c r="CI121" s="294">
        <f t="shared" si="1"/>
        <v>475865.05999999959</v>
      </c>
      <c r="CJ121" s="294">
        <v>996693</v>
      </c>
      <c r="CK121" s="294">
        <v>359580</v>
      </c>
      <c r="CL121" s="294">
        <v>16536</v>
      </c>
      <c r="CM121" s="294">
        <v>653649</v>
      </c>
      <c r="CN121" s="294">
        <v>0</v>
      </c>
      <c r="CO121" s="294">
        <v>0</v>
      </c>
      <c r="CP121" s="294">
        <v>10109</v>
      </c>
      <c r="CQ121" s="294">
        <v>1849</v>
      </c>
      <c r="CR121" s="294">
        <v>0</v>
      </c>
      <c r="CS121" s="294">
        <v>665606</v>
      </c>
      <c r="CT121" s="294">
        <v>0</v>
      </c>
      <c r="CU121" s="294">
        <v>0</v>
      </c>
      <c r="CV121" s="294">
        <v>0</v>
      </c>
      <c r="CW121" s="294">
        <v>0</v>
      </c>
      <c r="CX121" s="294"/>
      <c r="CY121" s="294"/>
      <c r="CZ121" s="294"/>
      <c r="DA121" s="294">
        <v>0</v>
      </c>
      <c r="DB121" s="294">
        <v>0</v>
      </c>
      <c r="DC121" s="294">
        <v>130412</v>
      </c>
      <c r="DD121" s="294">
        <v>3333</v>
      </c>
      <c r="DE121" s="294">
        <v>0</v>
      </c>
      <c r="DF121" s="294">
        <v>0</v>
      </c>
      <c r="DG121" s="294">
        <v>0</v>
      </c>
      <c r="DH121" s="294">
        <v>-24638.94</v>
      </c>
      <c r="DI121" s="294">
        <v>0</v>
      </c>
      <c r="DJ121" s="294">
        <v>0</v>
      </c>
      <c r="DK121" s="294">
        <v>109106.06</v>
      </c>
      <c r="DL121" s="294">
        <v>0</v>
      </c>
      <c r="DM121" s="294">
        <v>2089</v>
      </c>
      <c r="DN121" s="294">
        <v>-1946</v>
      </c>
      <c r="DO121" s="294">
        <v>-298829</v>
      </c>
      <c r="DP121" s="294">
        <v>-159</v>
      </c>
      <c r="DQ121" s="324">
        <v>0</v>
      </c>
      <c r="DR121" s="295">
        <v>3434108</v>
      </c>
      <c r="DS121" s="325">
        <v>1902372.9400000004</v>
      </c>
      <c r="DT121" s="295">
        <v>649683</v>
      </c>
      <c r="DU121" s="295">
        <v>135480</v>
      </c>
      <c r="DV121" s="295">
        <v>98785</v>
      </c>
      <c r="DW121" s="295">
        <v>-298845</v>
      </c>
    </row>
    <row r="122" spans="1:127">
      <c r="A122" s="321">
        <v>3351</v>
      </c>
      <c r="B122" s="322" t="s">
        <v>503</v>
      </c>
      <c r="C122" s="321">
        <v>3351</v>
      </c>
      <c r="D122" s="323" t="s">
        <v>817</v>
      </c>
      <c r="E122" s="323" t="s">
        <v>539</v>
      </c>
      <c r="F122" s="323" t="s">
        <v>818</v>
      </c>
      <c r="G122" s="323" t="s">
        <v>537</v>
      </c>
      <c r="H122" s="294">
        <v>1415598.07</v>
      </c>
      <c r="I122" s="294">
        <v>0</v>
      </c>
      <c r="J122" s="294">
        <v>60501.279999999999</v>
      </c>
      <c r="K122" s="294">
        <v>0</v>
      </c>
      <c r="L122" s="294">
        <v>168620</v>
      </c>
      <c r="M122" s="294">
        <v>2971.29</v>
      </c>
      <c r="N122" s="294">
        <v>0</v>
      </c>
      <c r="O122" s="294">
        <v>0</v>
      </c>
      <c r="P122" s="294">
        <v>29252.479999999996</v>
      </c>
      <c r="Q122" s="294">
        <v>2413.0699999999997</v>
      </c>
      <c r="R122" s="294">
        <v>0</v>
      </c>
      <c r="S122" s="294">
        <v>0</v>
      </c>
      <c r="T122" s="294">
        <v>24367.08</v>
      </c>
      <c r="U122" s="294">
        <v>260</v>
      </c>
      <c r="V122" s="294">
        <v>0</v>
      </c>
      <c r="W122" s="294">
        <v>2897.5</v>
      </c>
      <c r="X122" s="294">
        <v>29543</v>
      </c>
      <c r="Y122" s="294">
        <v>1736423.7700000003</v>
      </c>
      <c r="Z122" s="294">
        <v>669196.47000000032</v>
      </c>
      <c r="AA122" s="294">
        <v>0</v>
      </c>
      <c r="AB122" s="294">
        <v>340497.89</v>
      </c>
      <c r="AC122" s="294">
        <v>13917.770000000251</v>
      </c>
      <c r="AD122" s="294">
        <v>168902.2</v>
      </c>
      <c r="AE122" s="294">
        <v>3467.97</v>
      </c>
      <c r="AF122" s="294">
        <v>26084.099999999977</v>
      </c>
      <c r="AG122" s="294">
        <v>4599.8500000000058</v>
      </c>
      <c r="AH122" s="294">
        <v>1075.2</v>
      </c>
      <c r="AI122" s="294">
        <v>0</v>
      </c>
      <c r="AJ122" s="294">
        <v>0</v>
      </c>
      <c r="AK122" s="294">
        <v>51707.68</v>
      </c>
      <c r="AL122" s="294">
        <v>0</v>
      </c>
      <c r="AM122" s="294">
        <v>2059.5</v>
      </c>
      <c r="AN122" s="294">
        <v>9352.2999999999993</v>
      </c>
      <c r="AO122" s="294">
        <v>23962.460000000003</v>
      </c>
      <c r="AP122" s="294">
        <v>21610.93</v>
      </c>
      <c r="AQ122" s="294">
        <v>18140.43</v>
      </c>
      <c r="AR122" s="294">
        <v>131665.69999999998</v>
      </c>
      <c r="AS122" s="294">
        <v>18371.849999999991</v>
      </c>
      <c r="AT122" s="294">
        <v>0</v>
      </c>
      <c r="AU122" s="294">
        <v>2136.31</v>
      </c>
      <c r="AV122" s="294">
        <v>8309.76</v>
      </c>
      <c r="AW122" s="294">
        <v>9240</v>
      </c>
      <c r="AX122" s="294">
        <v>97046.299999999988</v>
      </c>
      <c r="AY122" s="294">
        <v>37171.629999999997</v>
      </c>
      <c r="AZ122" s="294">
        <v>13339.01</v>
      </c>
      <c r="BA122" s="294">
        <v>108775.76</v>
      </c>
      <c r="BB122" s="294">
        <v>0</v>
      </c>
      <c r="BC122" s="294">
        <v>0</v>
      </c>
      <c r="BD122" s="294">
        <v>0</v>
      </c>
      <c r="BE122" s="294">
        <v>1780631.0700000003</v>
      </c>
      <c r="BF122" s="294">
        <v>308327.60999999975</v>
      </c>
      <c r="BG122" s="294">
        <v>-44207.300000000047</v>
      </c>
      <c r="BH122" s="294">
        <v>264120.30999999971</v>
      </c>
      <c r="BI122" s="294">
        <v>0</v>
      </c>
      <c r="BJ122" s="294">
        <v>0</v>
      </c>
      <c r="BK122" s="294">
        <v>0</v>
      </c>
      <c r="BL122" s="294">
        <v>0</v>
      </c>
      <c r="BM122" s="294">
        <v>0</v>
      </c>
      <c r="BN122" s="294">
        <v>0</v>
      </c>
      <c r="BO122" s="294">
        <v>0</v>
      </c>
      <c r="BP122" s="294">
        <v>0</v>
      </c>
      <c r="BQ122" s="294">
        <v>0</v>
      </c>
      <c r="BR122" s="294">
        <v>0</v>
      </c>
      <c r="BS122" s="294">
        <v>0</v>
      </c>
      <c r="BT122" s="294">
        <v>0</v>
      </c>
      <c r="BU122" s="294">
        <v>0</v>
      </c>
      <c r="BV122" s="294">
        <v>0</v>
      </c>
      <c r="BW122" s="294">
        <v>0</v>
      </c>
      <c r="BX122" s="294">
        <v>0</v>
      </c>
      <c r="BY122" s="294">
        <v>0</v>
      </c>
      <c r="BZ122" s="294">
        <v>0</v>
      </c>
      <c r="CA122" s="294">
        <v>0</v>
      </c>
      <c r="CB122" s="294">
        <v>0</v>
      </c>
      <c r="CC122" s="294">
        <v>0</v>
      </c>
      <c r="CD122" s="294">
        <v>264120.30999999971</v>
      </c>
      <c r="CE122" s="294">
        <v>0</v>
      </c>
      <c r="CF122" s="294">
        <v>0</v>
      </c>
      <c r="CG122" s="294">
        <v>0</v>
      </c>
      <c r="CH122" s="294">
        <v>0</v>
      </c>
      <c r="CI122" s="294">
        <f t="shared" si="1"/>
        <v>264120.30999999971</v>
      </c>
      <c r="CJ122" s="294">
        <v>519227.55</v>
      </c>
      <c r="CK122" s="294">
        <v>143979.59</v>
      </c>
      <c r="CL122" s="294">
        <v>0</v>
      </c>
      <c r="CM122" s="294">
        <v>375247.95999999996</v>
      </c>
      <c r="CN122" s="294">
        <v>0</v>
      </c>
      <c r="CO122" s="294">
        <v>0</v>
      </c>
      <c r="CP122" s="294">
        <v>10234.620000000001</v>
      </c>
      <c r="CQ122" s="294">
        <v>9813.49</v>
      </c>
      <c r="CR122" s="294">
        <v>-118132.67</v>
      </c>
      <c r="CS122" s="294">
        <v>277163.39999999997</v>
      </c>
      <c r="CT122" s="294">
        <v>0</v>
      </c>
      <c r="CU122" s="294">
        <v>0</v>
      </c>
      <c r="CV122" s="294">
        <v>0</v>
      </c>
      <c r="CW122" s="294">
        <v>0</v>
      </c>
      <c r="CX122" s="294"/>
      <c r="CY122" s="294"/>
      <c r="CZ122" s="294"/>
      <c r="DA122" s="294">
        <v>0</v>
      </c>
      <c r="DB122" s="294">
        <v>0</v>
      </c>
      <c r="DC122" s="294">
        <v>0</v>
      </c>
      <c r="DD122" s="294">
        <v>8788.86</v>
      </c>
      <c r="DE122" s="294">
        <v>0</v>
      </c>
      <c r="DF122" s="294">
        <v>0</v>
      </c>
      <c r="DG122" s="294">
        <v>0</v>
      </c>
      <c r="DH122" s="294">
        <v>-21832.16</v>
      </c>
      <c r="DI122" s="294">
        <v>0</v>
      </c>
      <c r="DJ122" s="294">
        <v>0</v>
      </c>
      <c r="DK122" s="294">
        <v>-13043.3</v>
      </c>
      <c r="DL122" s="294">
        <v>0</v>
      </c>
      <c r="DM122" s="294">
        <v>0</v>
      </c>
      <c r="DN122" s="294">
        <v>0</v>
      </c>
      <c r="DO122" s="294">
        <v>0</v>
      </c>
      <c r="DP122" s="294">
        <v>0</v>
      </c>
      <c r="DQ122" s="324">
        <v>0.21000000002095476</v>
      </c>
      <c r="DR122" s="295">
        <v>1226666.2500000005</v>
      </c>
      <c r="DS122" s="325">
        <v>553964.81999999983</v>
      </c>
      <c r="DT122" s="295">
        <v>37171.629999999997</v>
      </c>
      <c r="DU122" s="295">
        <v>56032.63</v>
      </c>
      <c r="DV122" s="295">
        <v>260</v>
      </c>
      <c r="DW122" s="295">
        <v>0</v>
      </c>
    </row>
    <row r="123" spans="1:127">
      <c r="A123" s="321">
        <v>3328</v>
      </c>
      <c r="B123" s="322" t="s">
        <v>504</v>
      </c>
      <c r="C123" s="321">
        <v>3328</v>
      </c>
      <c r="D123" s="323" t="s">
        <v>817</v>
      </c>
      <c r="E123" s="323" t="s">
        <v>539</v>
      </c>
      <c r="F123" s="323" t="s">
        <v>818</v>
      </c>
      <c r="G123" s="323" t="s">
        <v>537</v>
      </c>
      <c r="H123" s="294">
        <v>1230568</v>
      </c>
      <c r="I123" s="294">
        <v>0</v>
      </c>
      <c r="J123" s="294">
        <v>67968</v>
      </c>
      <c r="K123" s="294">
        <v>0</v>
      </c>
      <c r="L123" s="294">
        <v>63250</v>
      </c>
      <c r="M123" s="294">
        <v>400</v>
      </c>
      <c r="N123" s="294">
        <v>0</v>
      </c>
      <c r="O123" s="294">
        <v>0</v>
      </c>
      <c r="P123" s="294">
        <v>92264</v>
      </c>
      <c r="Q123" s="294">
        <v>25003</v>
      </c>
      <c r="R123" s="294">
        <v>0</v>
      </c>
      <c r="S123" s="294">
        <v>0</v>
      </c>
      <c r="T123" s="294">
        <v>8158</v>
      </c>
      <c r="U123" s="294">
        <v>0</v>
      </c>
      <c r="V123" s="294">
        <v>0</v>
      </c>
      <c r="W123" s="294">
        <v>4306</v>
      </c>
      <c r="X123" s="294">
        <v>50258</v>
      </c>
      <c r="Y123" s="294">
        <v>1542175</v>
      </c>
      <c r="Z123" s="294">
        <v>637487</v>
      </c>
      <c r="AA123" s="294">
        <v>1090</v>
      </c>
      <c r="AB123" s="294">
        <v>875</v>
      </c>
      <c r="AC123" s="294">
        <v>245069</v>
      </c>
      <c r="AD123" s="294">
        <v>490</v>
      </c>
      <c r="AE123" s="294">
        <v>0</v>
      </c>
      <c r="AF123" s="294">
        <v>175827</v>
      </c>
      <c r="AG123" s="294">
        <v>8166</v>
      </c>
      <c r="AH123" s="294">
        <v>31</v>
      </c>
      <c r="AI123" s="294">
        <v>0</v>
      </c>
      <c r="AJ123" s="294">
        <v>0</v>
      </c>
      <c r="AK123" s="294">
        <v>1523</v>
      </c>
      <c r="AL123" s="294">
        <v>0</v>
      </c>
      <c r="AM123" s="294">
        <v>752</v>
      </c>
      <c r="AN123" s="294">
        <v>0</v>
      </c>
      <c r="AO123" s="294">
        <v>2057</v>
      </c>
      <c r="AP123" s="294">
        <v>3471</v>
      </c>
      <c r="AQ123" s="294">
        <v>4344</v>
      </c>
      <c r="AR123" s="294">
        <v>196465</v>
      </c>
      <c r="AS123" s="294">
        <v>581</v>
      </c>
      <c r="AT123" s="294">
        <v>96</v>
      </c>
      <c r="AU123" s="294">
        <v>20955</v>
      </c>
      <c r="AV123" s="294">
        <v>5140</v>
      </c>
      <c r="AW123" s="294">
        <v>436</v>
      </c>
      <c r="AX123" s="294">
        <v>91251.98</v>
      </c>
      <c r="AY123" s="294">
        <v>225</v>
      </c>
      <c r="AZ123" s="294">
        <v>5215</v>
      </c>
      <c r="BA123" s="294">
        <v>67099</v>
      </c>
      <c r="BB123" s="294">
        <v>0</v>
      </c>
      <c r="BC123" s="294">
        <v>0</v>
      </c>
      <c r="BD123" s="294">
        <v>0</v>
      </c>
      <c r="BE123" s="294">
        <v>1468642.98</v>
      </c>
      <c r="BF123" s="294">
        <v>240251</v>
      </c>
      <c r="BG123" s="294">
        <v>73532.020000000019</v>
      </c>
      <c r="BH123" s="294">
        <v>313783.02</v>
      </c>
      <c r="BI123" s="294">
        <v>0</v>
      </c>
      <c r="BJ123" s="294">
        <v>0</v>
      </c>
      <c r="BK123" s="294">
        <v>0</v>
      </c>
      <c r="BL123" s="294">
        <v>0</v>
      </c>
      <c r="BM123" s="294">
        <v>0</v>
      </c>
      <c r="BN123" s="294">
        <v>0</v>
      </c>
      <c r="BO123" s="294">
        <v>0</v>
      </c>
      <c r="BP123" s="294">
        <v>0</v>
      </c>
      <c r="BQ123" s="294">
        <v>0</v>
      </c>
      <c r="BR123" s="294">
        <v>0</v>
      </c>
      <c r="BS123" s="294">
        <v>0</v>
      </c>
      <c r="BT123" s="294">
        <v>0</v>
      </c>
      <c r="BU123" s="294">
        <v>0</v>
      </c>
      <c r="BV123" s="294">
        <v>0</v>
      </c>
      <c r="BW123" s="294">
        <v>0</v>
      </c>
      <c r="BX123" s="294">
        <v>0</v>
      </c>
      <c r="BY123" s="294">
        <v>0</v>
      </c>
      <c r="BZ123" s="294">
        <v>0</v>
      </c>
      <c r="CA123" s="294">
        <v>0</v>
      </c>
      <c r="CB123" s="294">
        <v>0</v>
      </c>
      <c r="CC123" s="294">
        <v>0</v>
      </c>
      <c r="CD123" s="294">
        <v>313783.02</v>
      </c>
      <c r="CE123" s="294">
        <v>0</v>
      </c>
      <c r="CF123" s="294">
        <v>0</v>
      </c>
      <c r="CG123" s="294">
        <v>0</v>
      </c>
      <c r="CH123" s="294">
        <v>0</v>
      </c>
      <c r="CI123" s="294">
        <f t="shared" si="1"/>
        <v>313783.02</v>
      </c>
      <c r="CJ123" s="294">
        <v>94342</v>
      </c>
      <c r="CK123" s="294">
        <v>0</v>
      </c>
      <c r="CL123" s="294">
        <v>0</v>
      </c>
      <c r="CM123" s="294">
        <v>94342</v>
      </c>
      <c r="CN123" s="294">
        <v>0</v>
      </c>
      <c r="CO123" s="294">
        <v>0</v>
      </c>
      <c r="CP123" s="294">
        <v>5569</v>
      </c>
      <c r="CQ123" s="294">
        <v>0</v>
      </c>
      <c r="CR123" s="294">
        <v>228766</v>
      </c>
      <c r="CS123" s="294">
        <v>328678</v>
      </c>
      <c r="CT123" s="294">
        <v>0</v>
      </c>
      <c r="CU123" s="294">
        <v>0</v>
      </c>
      <c r="CV123" s="294">
        <v>0</v>
      </c>
      <c r="CW123" s="294">
        <v>0</v>
      </c>
      <c r="CX123" s="294"/>
      <c r="CY123" s="294"/>
      <c r="CZ123" s="294"/>
      <c r="DA123" s="294">
        <v>0</v>
      </c>
      <c r="DB123" s="294">
        <v>0</v>
      </c>
      <c r="DC123" s="294">
        <v>0</v>
      </c>
      <c r="DD123" s="294">
        <v>8330</v>
      </c>
      <c r="DE123" s="294">
        <v>0</v>
      </c>
      <c r="DF123" s="294">
        <v>0</v>
      </c>
      <c r="DG123" s="294">
        <v>0</v>
      </c>
      <c r="DH123" s="294">
        <v>-23226.98</v>
      </c>
      <c r="DI123" s="294">
        <v>0</v>
      </c>
      <c r="DJ123" s="294">
        <v>0</v>
      </c>
      <c r="DK123" s="294">
        <v>-14896.98</v>
      </c>
      <c r="DL123" s="294">
        <v>0</v>
      </c>
      <c r="DM123" s="294">
        <v>0</v>
      </c>
      <c r="DN123" s="294">
        <v>0</v>
      </c>
      <c r="DO123" s="294">
        <v>0</v>
      </c>
      <c r="DP123" s="294">
        <v>0</v>
      </c>
      <c r="DQ123" s="324">
        <v>0</v>
      </c>
      <c r="DR123" s="295">
        <v>1069004</v>
      </c>
      <c r="DS123" s="325">
        <v>399638.98</v>
      </c>
      <c r="DT123" s="295">
        <v>225</v>
      </c>
      <c r="DU123" s="295">
        <v>125425</v>
      </c>
      <c r="DV123" s="295">
        <v>0</v>
      </c>
      <c r="DW123" s="295">
        <v>0</v>
      </c>
    </row>
    <row r="124" spans="1:127">
      <c r="A124" s="321">
        <v>2150</v>
      </c>
      <c r="B124" s="322" t="s">
        <v>444</v>
      </c>
      <c r="C124" s="321">
        <v>2150</v>
      </c>
      <c r="D124" s="323" t="s">
        <v>817</v>
      </c>
      <c r="E124" s="323" t="s">
        <v>539</v>
      </c>
      <c r="F124" s="323" t="s">
        <v>818</v>
      </c>
      <c r="G124" s="323" t="s">
        <v>800</v>
      </c>
      <c r="H124" s="294">
        <v>1689698.01</v>
      </c>
      <c r="I124" s="294">
        <v>0</v>
      </c>
      <c r="J124" s="294">
        <v>110337.96</v>
      </c>
      <c r="K124" s="294">
        <v>0</v>
      </c>
      <c r="L124" s="294">
        <v>186090</v>
      </c>
      <c r="M124" s="294">
        <v>0</v>
      </c>
      <c r="N124" s="294">
        <v>0</v>
      </c>
      <c r="O124" s="294">
        <v>0</v>
      </c>
      <c r="P124" s="294">
        <v>22496.319999999996</v>
      </c>
      <c r="Q124" s="294">
        <v>0</v>
      </c>
      <c r="R124" s="294">
        <v>0</v>
      </c>
      <c r="S124" s="294">
        <v>0</v>
      </c>
      <c r="T124" s="294">
        <v>4047.82</v>
      </c>
      <c r="U124" s="294">
        <v>0</v>
      </c>
      <c r="V124" s="294">
        <v>0</v>
      </c>
      <c r="W124" s="294">
        <v>3952.58</v>
      </c>
      <c r="X124" s="294">
        <v>37681</v>
      </c>
      <c r="Y124" s="294">
        <v>2054303.6900000002</v>
      </c>
      <c r="Z124" s="294">
        <v>1017944.6799999998</v>
      </c>
      <c r="AA124" s="294">
        <v>5243.0599999999995</v>
      </c>
      <c r="AB124" s="294">
        <v>428872.83</v>
      </c>
      <c r="AC124" s="294">
        <v>76047.390000000596</v>
      </c>
      <c r="AD124" s="294">
        <v>81995.679999999993</v>
      </c>
      <c r="AE124" s="294">
        <v>0</v>
      </c>
      <c r="AF124" s="294">
        <v>58365.029999999737</v>
      </c>
      <c r="AG124" s="294">
        <v>17011.970000000034</v>
      </c>
      <c r="AH124" s="294">
        <v>880</v>
      </c>
      <c r="AI124" s="294">
        <v>0</v>
      </c>
      <c r="AJ124" s="294">
        <v>895</v>
      </c>
      <c r="AK124" s="294">
        <v>39957.679999999993</v>
      </c>
      <c r="AL124" s="294">
        <v>8.15</v>
      </c>
      <c r="AM124" s="294">
        <v>3195.2100000000005</v>
      </c>
      <c r="AN124" s="294">
        <v>14393.48</v>
      </c>
      <c r="AO124" s="294">
        <v>66114.310000000012</v>
      </c>
      <c r="AP124" s="294">
        <v>35244.79</v>
      </c>
      <c r="AQ124" s="294">
        <v>19211.019999999997</v>
      </c>
      <c r="AR124" s="294">
        <v>30850.860000000011</v>
      </c>
      <c r="AS124" s="294">
        <v>0</v>
      </c>
      <c r="AT124" s="294">
        <v>335</v>
      </c>
      <c r="AU124" s="294">
        <v>32303.839999999997</v>
      </c>
      <c r="AV124" s="294">
        <v>5139.75</v>
      </c>
      <c r="AW124" s="294">
        <v>0</v>
      </c>
      <c r="AX124" s="294">
        <v>125779.22</v>
      </c>
      <c r="AY124" s="294">
        <v>59181.739999999976</v>
      </c>
      <c r="AZ124" s="294">
        <v>6819.04</v>
      </c>
      <c r="BA124" s="294">
        <v>118727.03</v>
      </c>
      <c r="BB124" s="294">
        <v>0</v>
      </c>
      <c r="BC124" s="294">
        <v>0</v>
      </c>
      <c r="BD124" s="294">
        <v>0</v>
      </c>
      <c r="BE124" s="294">
        <v>2244516.7599999998</v>
      </c>
      <c r="BF124" s="294">
        <v>-401594.16</v>
      </c>
      <c r="BG124" s="294">
        <v>-190213.0699999996</v>
      </c>
      <c r="BH124" s="294">
        <v>-591807.22999999952</v>
      </c>
      <c r="BI124" s="294">
        <v>7727.13</v>
      </c>
      <c r="BJ124" s="294">
        <v>0</v>
      </c>
      <c r="BK124" s="294">
        <v>0</v>
      </c>
      <c r="BL124" s="294">
        <v>7727.13</v>
      </c>
      <c r="BM124" s="294">
        <v>0</v>
      </c>
      <c r="BN124" s="294">
        <v>2887.2</v>
      </c>
      <c r="BO124" s="294">
        <v>0</v>
      </c>
      <c r="BP124" s="294">
        <v>0</v>
      </c>
      <c r="BQ124" s="294">
        <v>2887.2</v>
      </c>
      <c r="BR124" s="294">
        <v>41751.179999999993</v>
      </c>
      <c r="BS124" s="294">
        <v>4839.93</v>
      </c>
      <c r="BT124" s="294">
        <v>46591.109999999993</v>
      </c>
      <c r="BU124" s="294">
        <v>0</v>
      </c>
      <c r="BV124" s="294">
        <v>0</v>
      </c>
      <c r="BW124" s="294">
        <v>0</v>
      </c>
      <c r="BX124" s="294">
        <v>0</v>
      </c>
      <c r="BY124" s="294">
        <v>0</v>
      </c>
      <c r="BZ124" s="294">
        <v>0</v>
      </c>
      <c r="CA124" s="294">
        <v>0</v>
      </c>
      <c r="CB124" s="294">
        <v>0</v>
      </c>
      <c r="CC124" s="294">
        <v>0</v>
      </c>
      <c r="CD124" s="294">
        <v>-591807.22999999952</v>
      </c>
      <c r="CE124" s="294">
        <v>0</v>
      </c>
      <c r="CF124" s="294">
        <v>46591.109999999993</v>
      </c>
      <c r="CG124" s="294">
        <v>0</v>
      </c>
      <c r="CH124" s="294">
        <v>0</v>
      </c>
      <c r="CI124" s="294">
        <f t="shared" si="1"/>
        <v>-545216.11999999953</v>
      </c>
      <c r="CJ124" s="294">
        <v>0</v>
      </c>
      <c r="CK124" s="294">
        <v>0</v>
      </c>
      <c r="CL124" s="294">
        <v>0</v>
      </c>
      <c r="CM124" s="294">
        <v>0</v>
      </c>
      <c r="CN124" s="294">
        <v>0</v>
      </c>
      <c r="CO124" s="294">
        <v>0</v>
      </c>
      <c r="CP124" s="294">
        <v>0</v>
      </c>
      <c r="CQ124" s="294">
        <v>0</v>
      </c>
      <c r="CR124" s="294">
        <v>0</v>
      </c>
      <c r="CS124" s="294">
        <v>0</v>
      </c>
      <c r="CT124" s="294">
        <v>0</v>
      </c>
      <c r="CU124" s="294">
        <v>0</v>
      </c>
      <c r="CV124" s="294">
        <v>0</v>
      </c>
      <c r="CW124" s="294">
        <v>0</v>
      </c>
      <c r="CX124" s="294"/>
      <c r="CY124" s="294"/>
      <c r="CZ124" s="294"/>
      <c r="DA124" s="294">
        <v>-481692.24999999977</v>
      </c>
      <c r="DB124" s="294">
        <v>-481692.24999999977</v>
      </c>
      <c r="DC124" s="294">
        <v>0</v>
      </c>
      <c r="DD124" s="294">
        <v>0</v>
      </c>
      <c r="DE124" s="294">
        <v>0</v>
      </c>
      <c r="DF124" s="294">
        <v>0</v>
      </c>
      <c r="DG124" s="294">
        <v>-8870.65</v>
      </c>
      <c r="DH124" s="294">
        <v>-54653.22</v>
      </c>
      <c r="DI124" s="294">
        <v>0</v>
      </c>
      <c r="DJ124" s="294">
        <v>0</v>
      </c>
      <c r="DK124" s="294">
        <v>-63523.87</v>
      </c>
      <c r="DL124" s="294">
        <v>0</v>
      </c>
      <c r="DM124" s="294">
        <v>0</v>
      </c>
      <c r="DN124" s="294">
        <v>0</v>
      </c>
      <c r="DO124" s="294">
        <v>0</v>
      </c>
      <c r="DP124" s="294">
        <v>0</v>
      </c>
      <c r="DQ124" s="324">
        <v>0</v>
      </c>
      <c r="DR124" s="295">
        <v>1685480.6400000001</v>
      </c>
      <c r="DS124" s="325">
        <v>559036.11999999965</v>
      </c>
      <c r="DT124" s="295">
        <v>59181.739999999976</v>
      </c>
      <c r="DU124" s="295">
        <v>26544.139999999996</v>
      </c>
      <c r="DV124" s="295">
        <v>0</v>
      </c>
      <c r="DW124" s="295">
        <v>0</v>
      </c>
    </row>
    <row r="125" spans="1:127">
      <c r="A125" s="321">
        <v>2425</v>
      </c>
      <c r="B125" s="322" t="s">
        <v>445</v>
      </c>
      <c r="C125" s="321">
        <v>2425</v>
      </c>
      <c r="D125" s="323" t="s">
        <v>817</v>
      </c>
      <c r="E125" s="323" t="s">
        <v>539</v>
      </c>
      <c r="F125" s="323" t="s">
        <v>818</v>
      </c>
      <c r="G125" s="323" t="s">
        <v>800</v>
      </c>
      <c r="H125" s="294">
        <v>1104313.07</v>
      </c>
      <c r="I125" s="294">
        <v>0</v>
      </c>
      <c r="J125" s="294">
        <v>67988.09</v>
      </c>
      <c r="K125" s="294">
        <v>0</v>
      </c>
      <c r="L125" s="294">
        <v>51060</v>
      </c>
      <c r="M125" s="294">
        <v>1200</v>
      </c>
      <c r="N125" s="294">
        <v>0</v>
      </c>
      <c r="O125" s="294">
        <v>3780</v>
      </c>
      <c r="P125" s="294">
        <v>34854.75</v>
      </c>
      <c r="Q125" s="294">
        <v>33781.75</v>
      </c>
      <c r="R125" s="294">
        <v>0</v>
      </c>
      <c r="S125" s="294">
        <v>0</v>
      </c>
      <c r="T125" s="294">
        <v>63879.000000000007</v>
      </c>
      <c r="U125" s="294">
        <v>0</v>
      </c>
      <c r="V125" s="294">
        <v>0</v>
      </c>
      <c r="W125" s="294">
        <v>761.05</v>
      </c>
      <c r="X125" s="294">
        <v>54477</v>
      </c>
      <c r="Y125" s="294">
        <v>1416094.7100000002</v>
      </c>
      <c r="Z125" s="294">
        <v>641052.15999999887</v>
      </c>
      <c r="AA125" s="294">
        <v>-395.09000000000003</v>
      </c>
      <c r="AB125" s="294">
        <v>5474.88</v>
      </c>
      <c r="AC125" s="294">
        <v>238694.42999999982</v>
      </c>
      <c r="AD125" s="294">
        <v>1281.28</v>
      </c>
      <c r="AE125" s="294">
        <v>0</v>
      </c>
      <c r="AF125" s="294">
        <v>222635.12999999992</v>
      </c>
      <c r="AG125" s="294">
        <v>15025.320000000018</v>
      </c>
      <c r="AH125" s="294">
        <v>3014</v>
      </c>
      <c r="AI125" s="294">
        <v>0</v>
      </c>
      <c r="AJ125" s="294">
        <v>3914.44</v>
      </c>
      <c r="AK125" s="294">
        <v>57245.22</v>
      </c>
      <c r="AL125" s="294">
        <v>7422.0400000000009</v>
      </c>
      <c r="AM125" s="294">
        <v>32909.69</v>
      </c>
      <c r="AN125" s="294">
        <v>7953.3600000000006</v>
      </c>
      <c r="AO125" s="294">
        <v>22914.160000000003</v>
      </c>
      <c r="AP125" s="294">
        <v>15625.33</v>
      </c>
      <c r="AQ125" s="294">
        <v>16808.160000000007</v>
      </c>
      <c r="AR125" s="294">
        <v>58283.539999999994</v>
      </c>
      <c r="AS125" s="294">
        <v>0</v>
      </c>
      <c r="AT125" s="294">
        <v>32256.480000000003</v>
      </c>
      <c r="AU125" s="294">
        <v>11614.81</v>
      </c>
      <c r="AV125" s="294">
        <v>5139.75</v>
      </c>
      <c r="AW125" s="294">
        <v>0</v>
      </c>
      <c r="AX125" s="294">
        <v>78001.100000000006</v>
      </c>
      <c r="AY125" s="294">
        <v>3529</v>
      </c>
      <c r="AZ125" s="294">
        <v>5289.77</v>
      </c>
      <c r="BA125" s="294">
        <v>91627.29</v>
      </c>
      <c r="BB125" s="294">
        <v>0</v>
      </c>
      <c r="BC125" s="294">
        <v>0</v>
      </c>
      <c r="BD125" s="294">
        <v>0</v>
      </c>
      <c r="BE125" s="294">
        <v>1577316.1199999987</v>
      </c>
      <c r="BF125" s="294">
        <v>-61775.100000000151</v>
      </c>
      <c r="BG125" s="294">
        <v>-161221.40999999852</v>
      </c>
      <c r="BH125" s="294">
        <v>-222996.50999999867</v>
      </c>
      <c r="BI125" s="294">
        <v>6373.75</v>
      </c>
      <c r="BJ125" s="294">
        <v>0</v>
      </c>
      <c r="BK125" s="294">
        <v>0</v>
      </c>
      <c r="BL125" s="294">
        <v>6373.75</v>
      </c>
      <c r="BM125" s="294">
        <v>0</v>
      </c>
      <c r="BN125" s="294">
        <v>0</v>
      </c>
      <c r="BO125" s="294">
        <v>0</v>
      </c>
      <c r="BP125" s="294">
        <v>0</v>
      </c>
      <c r="BQ125" s="294">
        <v>0</v>
      </c>
      <c r="BR125" s="294">
        <v>15932.41</v>
      </c>
      <c r="BS125" s="294">
        <v>6373.75</v>
      </c>
      <c r="BT125" s="294">
        <v>22306.16</v>
      </c>
      <c r="BU125" s="294">
        <v>0</v>
      </c>
      <c r="BV125" s="294">
        <v>0</v>
      </c>
      <c r="BW125" s="294">
        <v>0</v>
      </c>
      <c r="BX125" s="294">
        <v>0</v>
      </c>
      <c r="BY125" s="294">
        <v>0</v>
      </c>
      <c r="BZ125" s="294">
        <v>0</v>
      </c>
      <c r="CA125" s="294">
        <v>0</v>
      </c>
      <c r="CB125" s="294">
        <v>0</v>
      </c>
      <c r="CC125" s="294">
        <v>0</v>
      </c>
      <c r="CD125" s="294">
        <v>-222996.51</v>
      </c>
      <c r="CE125" s="294">
        <v>0</v>
      </c>
      <c r="CF125" s="294">
        <v>22306.16</v>
      </c>
      <c r="CG125" s="294">
        <v>0</v>
      </c>
      <c r="CH125" s="294">
        <v>0</v>
      </c>
      <c r="CI125" s="294">
        <f t="shared" si="1"/>
        <v>-200690.35</v>
      </c>
      <c r="CJ125" s="294">
        <v>0</v>
      </c>
      <c r="CK125" s="294">
        <v>0</v>
      </c>
      <c r="CL125" s="294">
        <v>0</v>
      </c>
      <c r="CM125" s="294">
        <v>0</v>
      </c>
      <c r="CN125" s="294">
        <v>0</v>
      </c>
      <c r="CO125" s="294">
        <v>0</v>
      </c>
      <c r="CP125" s="294">
        <v>0</v>
      </c>
      <c r="CQ125" s="294">
        <v>0</v>
      </c>
      <c r="CR125" s="294">
        <v>0</v>
      </c>
      <c r="CS125" s="294">
        <v>0</v>
      </c>
      <c r="CT125" s="294">
        <v>0</v>
      </c>
      <c r="CU125" s="294">
        <v>0</v>
      </c>
      <c r="CV125" s="294">
        <v>0</v>
      </c>
      <c r="CW125" s="294">
        <v>0</v>
      </c>
      <c r="CX125" s="294"/>
      <c r="CY125" s="294"/>
      <c r="CZ125" s="294"/>
      <c r="DA125" s="294">
        <v>-235249.24999999866</v>
      </c>
      <c r="DB125" s="294">
        <v>-235249.24999999866</v>
      </c>
      <c r="DC125" s="294">
        <v>0</v>
      </c>
      <c r="DD125" s="294">
        <v>44673.96</v>
      </c>
      <c r="DE125" s="294">
        <v>0</v>
      </c>
      <c r="DF125" s="294">
        <v>0</v>
      </c>
      <c r="DG125" s="294">
        <v>-10115.06</v>
      </c>
      <c r="DH125" s="294">
        <v>-22447.1</v>
      </c>
      <c r="DI125" s="294">
        <v>0</v>
      </c>
      <c r="DJ125" s="294">
        <v>0</v>
      </c>
      <c r="DK125" s="294">
        <v>12111.800000000003</v>
      </c>
      <c r="DL125" s="294">
        <v>0</v>
      </c>
      <c r="DM125" s="294">
        <v>0</v>
      </c>
      <c r="DN125" s="294">
        <v>0</v>
      </c>
      <c r="DO125" s="294">
        <v>0</v>
      </c>
      <c r="DP125" s="294">
        <v>0</v>
      </c>
      <c r="DQ125" s="324">
        <v>-1.3387762010097504E-9</v>
      </c>
      <c r="DR125" s="295">
        <v>1123768.1099999987</v>
      </c>
      <c r="DS125" s="325">
        <v>453548.01</v>
      </c>
      <c r="DT125" s="295">
        <v>3529</v>
      </c>
      <c r="DU125" s="295">
        <v>136295.5</v>
      </c>
      <c r="DV125" s="295">
        <v>0</v>
      </c>
      <c r="DW125" s="295">
        <v>0</v>
      </c>
    </row>
    <row r="126" spans="1:127">
      <c r="A126" s="321">
        <v>1008</v>
      </c>
      <c r="B126" s="322" t="s">
        <v>446</v>
      </c>
      <c r="C126" s="321">
        <v>1008</v>
      </c>
      <c r="D126" s="323" t="s">
        <v>817</v>
      </c>
      <c r="E126" s="323" t="s">
        <v>536</v>
      </c>
      <c r="F126" s="323" t="s">
        <v>818</v>
      </c>
      <c r="G126" s="323" t="s">
        <v>537</v>
      </c>
      <c r="H126" s="294">
        <v>513883.79</v>
      </c>
      <c r="I126" s="294">
        <v>0</v>
      </c>
      <c r="J126" s="294">
        <v>6072.41</v>
      </c>
      <c r="K126" s="294">
        <v>0</v>
      </c>
      <c r="L126" s="294">
        <v>0</v>
      </c>
      <c r="M126" s="294">
        <v>0</v>
      </c>
      <c r="N126" s="294">
        <v>0</v>
      </c>
      <c r="O126" s="294">
        <v>0</v>
      </c>
      <c r="P126" s="294">
        <v>25780.2</v>
      </c>
      <c r="Q126" s="294">
        <v>0</v>
      </c>
      <c r="R126" s="294">
        <v>0</v>
      </c>
      <c r="S126" s="294">
        <v>0</v>
      </c>
      <c r="T126" s="294">
        <v>139</v>
      </c>
      <c r="U126" s="294">
        <v>18000</v>
      </c>
      <c r="V126" s="294">
        <v>0</v>
      </c>
      <c r="W126" s="294">
        <v>0</v>
      </c>
      <c r="X126" s="294">
        <v>0</v>
      </c>
      <c r="Y126" s="294">
        <v>563875.39999999991</v>
      </c>
      <c r="Z126" s="294">
        <v>230511.2900000001</v>
      </c>
      <c r="AA126" s="294">
        <v>0</v>
      </c>
      <c r="AB126" s="294">
        <v>104358.42</v>
      </c>
      <c r="AC126" s="294">
        <v>0</v>
      </c>
      <c r="AD126" s="294">
        <v>14733.529999999999</v>
      </c>
      <c r="AE126" s="294">
        <v>0</v>
      </c>
      <c r="AF126" s="294">
        <v>32508.189999999988</v>
      </c>
      <c r="AG126" s="294">
        <v>3400.7599999999989</v>
      </c>
      <c r="AH126" s="294">
        <v>210</v>
      </c>
      <c r="AI126" s="294">
        <v>0</v>
      </c>
      <c r="AJ126" s="294">
        <v>0</v>
      </c>
      <c r="AK126" s="294">
        <v>1107.9100000000035</v>
      </c>
      <c r="AL126" s="294">
        <v>0</v>
      </c>
      <c r="AM126" s="294">
        <v>0</v>
      </c>
      <c r="AN126" s="294">
        <v>712.12</v>
      </c>
      <c r="AO126" s="294">
        <v>8088.12</v>
      </c>
      <c r="AP126" s="294">
        <v>0</v>
      </c>
      <c r="AQ126" s="294">
        <v>866.58</v>
      </c>
      <c r="AR126" s="294">
        <v>45672.239999999976</v>
      </c>
      <c r="AS126" s="294">
        <v>0</v>
      </c>
      <c r="AT126" s="294">
        <v>1000</v>
      </c>
      <c r="AU126" s="294">
        <v>4833.51</v>
      </c>
      <c r="AV126" s="294">
        <v>3291.75</v>
      </c>
      <c r="AW126" s="294">
        <v>0</v>
      </c>
      <c r="AX126" s="294">
        <v>0</v>
      </c>
      <c r="AY126" s="294">
        <v>23743.879999999994</v>
      </c>
      <c r="AZ126" s="294">
        <v>0</v>
      </c>
      <c r="BA126" s="294">
        <v>27520.75</v>
      </c>
      <c r="BB126" s="294">
        <v>39126.85</v>
      </c>
      <c r="BC126" s="294">
        <v>0</v>
      </c>
      <c r="BD126" s="294">
        <v>0</v>
      </c>
      <c r="BE126" s="294">
        <v>541685.90000000014</v>
      </c>
      <c r="BF126" s="294">
        <v>63510.530000000028</v>
      </c>
      <c r="BG126" s="294">
        <v>22189.499999999767</v>
      </c>
      <c r="BH126" s="294">
        <v>85700.029999999795</v>
      </c>
      <c r="BI126" s="294">
        <v>4708.75</v>
      </c>
      <c r="BJ126" s="294">
        <v>0</v>
      </c>
      <c r="BK126" s="294">
        <v>0</v>
      </c>
      <c r="BL126" s="294">
        <v>4708.75</v>
      </c>
      <c r="BM126" s="294">
        <v>0</v>
      </c>
      <c r="BN126" s="294">
        <v>0</v>
      </c>
      <c r="BO126" s="294">
        <v>0</v>
      </c>
      <c r="BP126" s="294">
        <v>0</v>
      </c>
      <c r="BQ126" s="294">
        <v>0</v>
      </c>
      <c r="BR126" s="294">
        <v>11718.1</v>
      </c>
      <c r="BS126" s="294">
        <v>4708.75</v>
      </c>
      <c r="BT126" s="294">
        <v>16426.849999999999</v>
      </c>
      <c r="BU126" s="294">
        <v>0</v>
      </c>
      <c r="BV126" s="294">
        <v>0</v>
      </c>
      <c r="BW126" s="294">
        <v>0</v>
      </c>
      <c r="BX126" s="294">
        <v>0</v>
      </c>
      <c r="BY126" s="294">
        <v>0</v>
      </c>
      <c r="BZ126" s="294">
        <v>0</v>
      </c>
      <c r="CA126" s="294">
        <v>0</v>
      </c>
      <c r="CB126" s="294">
        <v>0</v>
      </c>
      <c r="CC126" s="294">
        <v>0</v>
      </c>
      <c r="CD126" s="294">
        <v>85700.029999999795</v>
      </c>
      <c r="CE126" s="294">
        <v>0</v>
      </c>
      <c r="CF126" s="294">
        <v>16426.849999999999</v>
      </c>
      <c r="CG126" s="294">
        <v>0</v>
      </c>
      <c r="CH126" s="294">
        <v>0</v>
      </c>
      <c r="CI126" s="294">
        <f t="shared" si="1"/>
        <v>102126.8799999998</v>
      </c>
      <c r="CJ126" s="294">
        <v>15531.56</v>
      </c>
      <c r="CK126" s="294">
        <v>0</v>
      </c>
      <c r="CL126" s="294">
        <v>0</v>
      </c>
      <c r="CM126" s="294">
        <v>15531.56</v>
      </c>
      <c r="CN126" s="294">
        <v>0</v>
      </c>
      <c r="CO126" s="294">
        <v>0</v>
      </c>
      <c r="CP126" s="294">
        <v>4034.99</v>
      </c>
      <c r="CQ126" s="294">
        <v>0</v>
      </c>
      <c r="CR126" s="294">
        <v>82890.12</v>
      </c>
      <c r="CS126" s="294">
        <v>102456.67</v>
      </c>
      <c r="CT126" s="294">
        <v>0</v>
      </c>
      <c r="CU126" s="294">
        <v>0</v>
      </c>
      <c r="CV126" s="294">
        <v>0</v>
      </c>
      <c r="CW126" s="294">
        <v>0</v>
      </c>
      <c r="CX126" s="294"/>
      <c r="CY126" s="294"/>
      <c r="CZ126" s="294"/>
      <c r="DA126" s="294">
        <v>0</v>
      </c>
      <c r="DB126" s="294">
        <v>0</v>
      </c>
      <c r="DC126" s="294">
        <v>0</v>
      </c>
      <c r="DD126" s="294">
        <v>2542.6999999999998</v>
      </c>
      <c r="DE126" s="294">
        <v>0</v>
      </c>
      <c r="DF126" s="294">
        <v>0</v>
      </c>
      <c r="DG126" s="294">
        <v>-2746.48</v>
      </c>
      <c r="DH126" s="294">
        <v>-126</v>
      </c>
      <c r="DI126" s="294">
        <v>0</v>
      </c>
      <c r="DJ126" s="294">
        <v>0</v>
      </c>
      <c r="DK126" s="294">
        <v>-329.7800000000002</v>
      </c>
      <c r="DL126" s="294">
        <v>0</v>
      </c>
      <c r="DM126" s="294">
        <v>0</v>
      </c>
      <c r="DN126" s="294">
        <v>0</v>
      </c>
      <c r="DO126" s="294">
        <v>0</v>
      </c>
      <c r="DP126" s="294">
        <v>0</v>
      </c>
      <c r="DQ126" s="324">
        <v>-9.9999999947613105E-3</v>
      </c>
      <c r="DR126" s="295">
        <v>385512.19000000012</v>
      </c>
      <c r="DS126" s="325">
        <v>156173.71000000002</v>
      </c>
      <c r="DT126" s="295">
        <v>23743.879999999994</v>
      </c>
      <c r="DU126" s="295">
        <v>25919.200000000001</v>
      </c>
      <c r="DV126" s="295">
        <v>18000</v>
      </c>
      <c r="DW126" s="295">
        <v>0</v>
      </c>
    </row>
    <row r="127" spans="1:127">
      <c r="A127" s="321">
        <v>7034</v>
      </c>
      <c r="B127" s="322" t="s">
        <v>447</v>
      </c>
      <c r="C127" s="321">
        <v>7034</v>
      </c>
      <c r="D127" s="323" t="s">
        <v>817</v>
      </c>
      <c r="E127" s="323" t="s">
        <v>541</v>
      </c>
      <c r="F127" s="323" t="s">
        <v>818</v>
      </c>
      <c r="G127" s="323" t="s">
        <v>800</v>
      </c>
      <c r="H127" s="294">
        <v>905682.89</v>
      </c>
      <c r="I127" s="294">
        <v>181757</v>
      </c>
      <c r="J127" s="294">
        <v>1828717.85</v>
      </c>
      <c r="K127" s="294">
        <v>0</v>
      </c>
      <c r="L127" s="294">
        <v>42120</v>
      </c>
      <c r="M127" s="294">
        <v>2400</v>
      </c>
      <c r="N127" s="294">
        <v>0</v>
      </c>
      <c r="O127" s="294">
        <v>0</v>
      </c>
      <c r="P127" s="294">
        <v>301944.37</v>
      </c>
      <c r="Q127" s="294">
        <v>0</v>
      </c>
      <c r="R127" s="294">
        <v>0</v>
      </c>
      <c r="S127" s="294">
        <v>0</v>
      </c>
      <c r="T127" s="294">
        <v>8268.4</v>
      </c>
      <c r="U127" s="294">
        <v>62690.65</v>
      </c>
      <c r="V127" s="294">
        <v>0</v>
      </c>
      <c r="W127" s="294">
        <v>14142.58</v>
      </c>
      <c r="X127" s="294">
        <v>18784</v>
      </c>
      <c r="Y127" s="294">
        <v>3366507.74</v>
      </c>
      <c r="Z127" s="294">
        <v>1215200.5900000001</v>
      </c>
      <c r="AA127" s="294">
        <v>0</v>
      </c>
      <c r="AB127" s="294">
        <v>645964.32999999996</v>
      </c>
      <c r="AC127" s="294">
        <v>0</v>
      </c>
      <c r="AD127" s="294">
        <v>364176.61</v>
      </c>
      <c r="AE127" s="294">
        <v>0</v>
      </c>
      <c r="AF127" s="294">
        <v>37580.119999999995</v>
      </c>
      <c r="AG127" s="294">
        <v>12335.55</v>
      </c>
      <c r="AH127" s="294">
        <v>2341.5800000000004</v>
      </c>
      <c r="AI127" s="294">
        <v>0</v>
      </c>
      <c r="AJ127" s="294">
        <v>0</v>
      </c>
      <c r="AK127" s="294">
        <v>9707.4599999999991</v>
      </c>
      <c r="AL127" s="294">
        <v>0</v>
      </c>
      <c r="AM127" s="294">
        <v>0</v>
      </c>
      <c r="AN127" s="294">
        <v>9876.06</v>
      </c>
      <c r="AO127" s="294">
        <v>131439.04999999999</v>
      </c>
      <c r="AP127" s="294">
        <v>0</v>
      </c>
      <c r="AQ127" s="294">
        <v>7010.5699999999924</v>
      </c>
      <c r="AR127" s="294">
        <v>85804.89</v>
      </c>
      <c r="AS127" s="294">
        <v>3005.16</v>
      </c>
      <c r="AT127" s="294">
        <v>3971.42</v>
      </c>
      <c r="AU127" s="294">
        <v>19480.12</v>
      </c>
      <c r="AV127" s="294">
        <v>3291.75</v>
      </c>
      <c r="AW127" s="294">
        <v>2137.5</v>
      </c>
      <c r="AX127" s="294">
        <v>24308.42</v>
      </c>
      <c r="AY127" s="294">
        <v>22378.68</v>
      </c>
      <c r="AZ127" s="294">
        <v>13093.52</v>
      </c>
      <c r="BA127" s="294">
        <v>310016.01</v>
      </c>
      <c r="BB127" s="294">
        <v>405258</v>
      </c>
      <c r="BC127" s="294">
        <v>0</v>
      </c>
      <c r="BD127" s="294">
        <v>0</v>
      </c>
      <c r="BE127" s="294">
        <v>3328377.3899999997</v>
      </c>
      <c r="BF127" s="294">
        <v>402349.30000000028</v>
      </c>
      <c r="BG127" s="294">
        <v>38130.350000000559</v>
      </c>
      <c r="BH127" s="294">
        <v>440479.65000000084</v>
      </c>
      <c r="BI127" s="294">
        <v>8313.25</v>
      </c>
      <c r="BJ127" s="294">
        <v>0</v>
      </c>
      <c r="BK127" s="294">
        <v>0</v>
      </c>
      <c r="BL127" s="294">
        <v>8313.25</v>
      </c>
      <c r="BM127" s="294">
        <v>0</v>
      </c>
      <c r="BN127" s="294">
        <v>3245</v>
      </c>
      <c r="BO127" s="294">
        <v>0</v>
      </c>
      <c r="BP127" s="294">
        <v>25130.639999999999</v>
      </c>
      <c r="BQ127" s="294">
        <v>28375.64</v>
      </c>
      <c r="BR127" s="294">
        <v>32439.129999999997</v>
      </c>
      <c r="BS127" s="294">
        <v>-20062.39</v>
      </c>
      <c r="BT127" s="294">
        <v>12376.739999999998</v>
      </c>
      <c r="BU127" s="294">
        <v>0</v>
      </c>
      <c r="BV127" s="294">
        <v>0</v>
      </c>
      <c r="BW127" s="294">
        <v>0</v>
      </c>
      <c r="BX127" s="294">
        <v>0</v>
      </c>
      <c r="BY127" s="294">
        <v>0</v>
      </c>
      <c r="BZ127" s="294">
        <v>0</v>
      </c>
      <c r="CA127" s="294">
        <v>0</v>
      </c>
      <c r="CB127" s="294">
        <v>0</v>
      </c>
      <c r="CC127" s="294">
        <v>0</v>
      </c>
      <c r="CD127" s="294">
        <v>440479.65000000084</v>
      </c>
      <c r="CE127" s="294">
        <v>0</v>
      </c>
      <c r="CF127" s="294">
        <v>12376.739999999998</v>
      </c>
      <c r="CG127" s="294">
        <v>0</v>
      </c>
      <c r="CH127" s="294">
        <v>0</v>
      </c>
      <c r="CI127" s="294">
        <f t="shared" si="1"/>
        <v>452856.39000000083</v>
      </c>
      <c r="CJ127" s="294">
        <v>0</v>
      </c>
      <c r="CK127" s="294">
        <v>0</v>
      </c>
      <c r="CL127" s="294">
        <v>0</v>
      </c>
      <c r="CM127" s="294">
        <v>0</v>
      </c>
      <c r="CN127" s="294">
        <v>0</v>
      </c>
      <c r="CO127" s="294">
        <v>0</v>
      </c>
      <c r="CP127" s="294">
        <v>0</v>
      </c>
      <c r="CQ127" s="294">
        <v>0</v>
      </c>
      <c r="CR127" s="294">
        <v>0</v>
      </c>
      <c r="CS127" s="294">
        <v>0</v>
      </c>
      <c r="CT127" s="294">
        <v>0</v>
      </c>
      <c r="CU127" s="294">
        <v>0</v>
      </c>
      <c r="CV127" s="294">
        <v>0</v>
      </c>
      <c r="CW127" s="294">
        <v>0</v>
      </c>
      <c r="CX127" s="294"/>
      <c r="CY127" s="294"/>
      <c r="CZ127" s="294"/>
      <c r="DA127" s="294">
        <v>468937.53000000084</v>
      </c>
      <c r="DB127" s="294">
        <v>468937.53000000084</v>
      </c>
      <c r="DC127" s="294">
        <v>0</v>
      </c>
      <c r="DD127" s="294">
        <v>25752.37</v>
      </c>
      <c r="DE127" s="294">
        <v>0</v>
      </c>
      <c r="DF127" s="294">
        <v>0</v>
      </c>
      <c r="DG127" s="294">
        <v>-11311.15</v>
      </c>
      <c r="DH127" s="294">
        <v>-30522.36</v>
      </c>
      <c r="DI127" s="294">
        <v>0</v>
      </c>
      <c r="DJ127" s="294">
        <v>0</v>
      </c>
      <c r="DK127" s="294">
        <v>-16081.140000000001</v>
      </c>
      <c r="DL127" s="294">
        <v>0</v>
      </c>
      <c r="DM127" s="294">
        <v>0</v>
      </c>
      <c r="DN127" s="294">
        <v>0</v>
      </c>
      <c r="DO127" s="294">
        <v>0</v>
      </c>
      <c r="DP127" s="294">
        <v>0</v>
      </c>
      <c r="DQ127" s="324">
        <v>-8.149072527885437E-10</v>
      </c>
      <c r="DR127" s="295">
        <v>2275257.1999999997</v>
      </c>
      <c r="DS127" s="325">
        <v>1053120.19</v>
      </c>
      <c r="DT127" s="295">
        <v>22378.68</v>
      </c>
      <c r="DU127" s="295">
        <v>310212.77</v>
      </c>
      <c r="DV127" s="295">
        <v>62690.65</v>
      </c>
      <c r="DW127" s="295">
        <v>0</v>
      </c>
    </row>
    <row r="128" spans="1:127">
      <c r="A128" s="321">
        <v>4173</v>
      </c>
      <c r="B128" s="322" t="s">
        <v>367</v>
      </c>
      <c r="C128" s="321">
        <v>4173</v>
      </c>
      <c r="D128" s="323" t="s">
        <v>817</v>
      </c>
      <c r="E128" s="323" t="s">
        <v>543</v>
      </c>
      <c r="F128" s="323" t="s">
        <v>818</v>
      </c>
      <c r="G128" s="323" t="s">
        <v>537</v>
      </c>
      <c r="H128" s="294">
        <v>6845052.0700000003</v>
      </c>
      <c r="I128" s="294">
        <v>0</v>
      </c>
      <c r="J128" s="294">
        <v>176355.83</v>
      </c>
      <c r="K128" s="294">
        <v>0</v>
      </c>
      <c r="L128" s="294">
        <v>342920</v>
      </c>
      <c r="M128" s="294">
        <v>13884.65</v>
      </c>
      <c r="N128" s="294">
        <v>0</v>
      </c>
      <c r="O128" s="294">
        <v>0</v>
      </c>
      <c r="P128" s="294">
        <v>316792.59999999998</v>
      </c>
      <c r="Q128" s="294">
        <v>0</v>
      </c>
      <c r="R128" s="294">
        <v>0</v>
      </c>
      <c r="S128" s="294">
        <v>0</v>
      </c>
      <c r="T128" s="294">
        <v>56529.15</v>
      </c>
      <c r="U128" s="294">
        <v>0</v>
      </c>
      <c r="V128" s="294">
        <v>0</v>
      </c>
      <c r="W128" s="294">
        <v>10535</v>
      </c>
      <c r="X128" s="294">
        <v>0</v>
      </c>
      <c r="Y128" s="294">
        <v>7762069.3000000007</v>
      </c>
      <c r="Z128" s="294">
        <v>5912201.4945</v>
      </c>
      <c r="AA128" s="294">
        <v>0</v>
      </c>
      <c r="AB128" s="294">
        <v>621128.84400000004</v>
      </c>
      <c r="AC128" s="294">
        <v>108574.1265</v>
      </c>
      <c r="AD128" s="294">
        <v>286362.76199999999</v>
      </c>
      <c r="AE128" s="294">
        <v>0</v>
      </c>
      <c r="AF128" s="294">
        <v>12391.259999999998</v>
      </c>
      <c r="AG128" s="294">
        <v>11169.3235</v>
      </c>
      <c r="AH128" s="294">
        <v>5921.9054999999998</v>
      </c>
      <c r="AI128" s="294">
        <v>0</v>
      </c>
      <c r="AJ128" s="294">
        <v>0</v>
      </c>
      <c r="AK128" s="294">
        <v>145499.30849999998</v>
      </c>
      <c r="AL128" s="294">
        <v>9224.7434999999987</v>
      </c>
      <c r="AM128" s="294">
        <v>68409.0435</v>
      </c>
      <c r="AN128" s="294">
        <v>5246.2094999999999</v>
      </c>
      <c r="AO128" s="294">
        <v>53524.716000000008</v>
      </c>
      <c r="AP128" s="294">
        <v>148245.59</v>
      </c>
      <c r="AQ128" s="294">
        <v>29008.948499999999</v>
      </c>
      <c r="AR128" s="294">
        <v>100249.4745</v>
      </c>
      <c r="AS128" s="294">
        <v>151665.1605</v>
      </c>
      <c r="AT128" s="294">
        <v>10698.397500000001</v>
      </c>
      <c r="AU128" s="294">
        <v>96016.393579862633</v>
      </c>
      <c r="AV128" s="294">
        <v>48327.520499999999</v>
      </c>
      <c r="AW128" s="294">
        <v>0</v>
      </c>
      <c r="AX128" s="294">
        <v>67344.332999999999</v>
      </c>
      <c r="AY128" s="294">
        <v>0</v>
      </c>
      <c r="AZ128" s="294">
        <v>23691.568499999998</v>
      </c>
      <c r="BA128" s="294">
        <v>0</v>
      </c>
      <c r="BB128" s="294">
        <v>0</v>
      </c>
      <c r="BC128" s="294">
        <v>0</v>
      </c>
      <c r="BD128" s="294">
        <v>0</v>
      </c>
      <c r="BE128" s="294">
        <v>7914901.1235798625</v>
      </c>
      <c r="BF128" s="294">
        <v>998507.71000000043</v>
      </c>
      <c r="BG128" s="294">
        <v>-152831.82357986178</v>
      </c>
      <c r="BH128" s="294">
        <v>845675.88642013865</v>
      </c>
      <c r="BI128" s="294">
        <v>19212.810000000001</v>
      </c>
      <c r="BJ128" s="294">
        <v>0</v>
      </c>
      <c r="BK128" s="294">
        <v>0</v>
      </c>
      <c r="BL128" s="294">
        <v>19212.810000000001</v>
      </c>
      <c r="BM128" s="294">
        <v>0</v>
      </c>
      <c r="BN128" s="294">
        <v>0</v>
      </c>
      <c r="BO128" s="294">
        <v>0</v>
      </c>
      <c r="BP128" s="294">
        <v>0</v>
      </c>
      <c r="BQ128" s="294">
        <v>0</v>
      </c>
      <c r="BR128" s="294">
        <v>74163.23000000001</v>
      </c>
      <c r="BS128" s="294">
        <v>19212.810000000001</v>
      </c>
      <c r="BT128" s="294">
        <v>93376.040000000008</v>
      </c>
      <c r="BU128" s="294">
        <v>0</v>
      </c>
      <c r="BV128" s="294">
        <v>0</v>
      </c>
      <c r="BW128" s="294">
        <v>0</v>
      </c>
      <c r="BX128" s="294">
        <v>0</v>
      </c>
      <c r="BY128" s="294">
        <v>0</v>
      </c>
      <c r="BZ128" s="294">
        <v>0</v>
      </c>
      <c r="CA128" s="294">
        <v>0</v>
      </c>
      <c r="CB128" s="294">
        <v>0</v>
      </c>
      <c r="CC128" s="294">
        <v>0</v>
      </c>
      <c r="CD128" s="294">
        <v>845675.88642013865</v>
      </c>
      <c r="CE128" s="294">
        <v>0</v>
      </c>
      <c r="CF128" s="294">
        <v>93376.040000000008</v>
      </c>
      <c r="CG128" s="294">
        <v>0</v>
      </c>
      <c r="CH128" s="294">
        <v>0</v>
      </c>
      <c r="CI128" s="294">
        <f t="shared" si="1"/>
        <v>939051.92642013868</v>
      </c>
      <c r="CJ128" s="294">
        <v>951708.97</v>
      </c>
      <c r="CK128" s="294">
        <v>58756</v>
      </c>
      <c r="CL128" s="294">
        <v>1647.72</v>
      </c>
      <c r="CM128" s="294">
        <v>894600.69</v>
      </c>
      <c r="CN128" s="294">
        <v>0</v>
      </c>
      <c r="CO128" s="294">
        <v>0</v>
      </c>
      <c r="CP128" s="294">
        <v>44715.89</v>
      </c>
      <c r="CQ128" s="294">
        <v>0</v>
      </c>
      <c r="CR128" s="294">
        <v>0</v>
      </c>
      <c r="CS128" s="294">
        <v>939316.58</v>
      </c>
      <c r="CT128" s="294">
        <v>0</v>
      </c>
      <c r="CU128" s="294">
        <v>0</v>
      </c>
      <c r="CV128" s="294">
        <v>0</v>
      </c>
      <c r="CW128" s="294">
        <v>0</v>
      </c>
      <c r="CX128" s="294"/>
      <c r="CY128" s="294"/>
      <c r="CZ128" s="294"/>
      <c r="DA128" s="294">
        <v>0</v>
      </c>
      <c r="DB128" s="294">
        <v>0</v>
      </c>
      <c r="DC128" s="294">
        <v>0</v>
      </c>
      <c r="DD128" s="294">
        <v>0</v>
      </c>
      <c r="DE128" s="294">
        <v>0</v>
      </c>
      <c r="DF128" s="294">
        <v>0</v>
      </c>
      <c r="DG128" s="294">
        <v>0</v>
      </c>
      <c r="DH128" s="294">
        <v>-265</v>
      </c>
      <c r="DI128" s="294">
        <v>0</v>
      </c>
      <c r="DJ128" s="294">
        <v>0</v>
      </c>
      <c r="DK128" s="294">
        <v>-265</v>
      </c>
      <c r="DL128" s="294">
        <v>0</v>
      </c>
      <c r="DM128" s="294">
        <v>0</v>
      </c>
      <c r="DN128" s="294">
        <v>0</v>
      </c>
      <c r="DO128" s="294">
        <v>0</v>
      </c>
      <c r="DP128" s="294">
        <v>0</v>
      </c>
      <c r="DQ128" s="324">
        <v>0.35000000009313226</v>
      </c>
      <c r="DR128" s="295">
        <v>6951827.8105000006</v>
      </c>
      <c r="DS128" s="325">
        <v>963073.31307986192</v>
      </c>
      <c r="DT128" s="295">
        <v>0</v>
      </c>
      <c r="DU128" s="295">
        <v>373321.75</v>
      </c>
      <c r="DV128" s="295">
        <v>0</v>
      </c>
      <c r="DW128" s="295">
        <v>0</v>
      </c>
    </row>
    <row r="129" spans="1:127">
      <c r="A129" s="321">
        <v>2157</v>
      </c>
      <c r="B129" s="322" t="s">
        <v>448</v>
      </c>
      <c r="C129" s="321">
        <v>2157</v>
      </c>
      <c r="D129" s="323" t="s">
        <v>817</v>
      </c>
      <c r="E129" s="323" t="s">
        <v>539</v>
      </c>
      <c r="F129" s="323" t="s">
        <v>818</v>
      </c>
      <c r="G129" s="323" t="s">
        <v>800</v>
      </c>
      <c r="H129" s="294">
        <v>2051600.28</v>
      </c>
      <c r="I129" s="294">
        <v>0</v>
      </c>
      <c r="J129" s="294">
        <v>41238.75</v>
      </c>
      <c r="K129" s="294">
        <v>0</v>
      </c>
      <c r="L129" s="294">
        <v>134630</v>
      </c>
      <c r="M129" s="294">
        <v>0</v>
      </c>
      <c r="N129" s="294">
        <v>0</v>
      </c>
      <c r="O129" s="294">
        <v>0</v>
      </c>
      <c r="P129" s="294">
        <v>60463.649999999994</v>
      </c>
      <c r="Q129" s="294">
        <v>0</v>
      </c>
      <c r="R129" s="294">
        <v>0</v>
      </c>
      <c r="S129" s="294">
        <v>0</v>
      </c>
      <c r="T129" s="294">
        <v>0</v>
      </c>
      <c r="U129" s="294">
        <v>0</v>
      </c>
      <c r="V129" s="294">
        <v>0</v>
      </c>
      <c r="W129" s="294">
        <v>2465.13</v>
      </c>
      <c r="X129" s="294">
        <v>72334</v>
      </c>
      <c r="Y129" s="294">
        <v>2362731.81</v>
      </c>
      <c r="Z129" s="294">
        <v>1126496.8600000008</v>
      </c>
      <c r="AA129" s="294">
        <v>13626.51</v>
      </c>
      <c r="AB129" s="294">
        <v>-5805.5599999999995</v>
      </c>
      <c r="AC129" s="294">
        <v>496474.02999999851</v>
      </c>
      <c r="AD129" s="294">
        <v>233.99999999999994</v>
      </c>
      <c r="AE129" s="294">
        <v>0</v>
      </c>
      <c r="AF129" s="294">
        <v>293056.56000000011</v>
      </c>
      <c r="AG129" s="294">
        <v>7496.6099999999988</v>
      </c>
      <c r="AH129" s="294">
        <v>14919.2</v>
      </c>
      <c r="AI129" s="294">
        <v>0</v>
      </c>
      <c r="AJ129" s="294">
        <v>1239.2</v>
      </c>
      <c r="AK129" s="294">
        <v>18928.759999999998</v>
      </c>
      <c r="AL129" s="294">
        <v>181.8</v>
      </c>
      <c r="AM129" s="294">
        <v>2516.56</v>
      </c>
      <c r="AN129" s="294">
        <v>4898.0399999999991</v>
      </c>
      <c r="AO129" s="294">
        <v>82946.069999999978</v>
      </c>
      <c r="AP129" s="294">
        <v>27559.83</v>
      </c>
      <c r="AQ129" s="294">
        <v>8059.16</v>
      </c>
      <c r="AR129" s="294">
        <v>56251.009999999966</v>
      </c>
      <c r="AS129" s="294">
        <v>40029.910000000003</v>
      </c>
      <c r="AT129" s="294">
        <v>3220.39</v>
      </c>
      <c r="AU129" s="294">
        <v>8427.44</v>
      </c>
      <c r="AV129" s="294">
        <v>10443.48</v>
      </c>
      <c r="AW129" s="294">
        <v>0</v>
      </c>
      <c r="AX129" s="294">
        <v>93719.8</v>
      </c>
      <c r="AY129" s="294">
        <v>51445.120000000003</v>
      </c>
      <c r="AZ129" s="294">
        <v>9426.32</v>
      </c>
      <c r="BA129" s="294">
        <v>272547.89000000007</v>
      </c>
      <c r="BB129" s="294">
        <v>0</v>
      </c>
      <c r="BC129" s="294">
        <v>0</v>
      </c>
      <c r="BD129" s="294">
        <v>0</v>
      </c>
      <c r="BE129" s="294">
        <v>2638338.9899999998</v>
      </c>
      <c r="BF129" s="294">
        <v>-128949.25000000049</v>
      </c>
      <c r="BG129" s="294">
        <v>-275607.1799999997</v>
      </c>
      <c r="BH129" s="294">
        <v>-404556.43000000017</v>
      </c>
      <c r="BI129" s="294">
        <v>8713.75</v>
      </c>
      <c r="BJ129" s="294">
        <v>0</v>
      </c>
      <c r="BK129" s="294">
        <v>0</v>
      </c>
      <c r="BL129" s="294">
        <v>8713.75</v>
      </c>
      <c r="BM129" s="294">
        <v>0</v>
      </c>
      <c r="BN129" s="294">
        <v>0</v>
      </c>
      <c r="BO129" s="294">
        <v>0</v>
      </c>
      <c r="BP129" s="294">
        <v>0</v>
      </c>
      <c r="BQ129" s="294">
        <v>0</v>
      </c>
      <c r="BR129" s="294">
        <v>0</v>
      </c>
      <c r="BS129" s="294">
        <v>8713.75</v>
      </c>
      <c r="BT129" s="294">
        <v>8713.75</v>
      </c>
      <c r="BU129" s="294">
        <v>0</v>
      </c>
      <c r="BV129" s="294">
        <v>0</v>
      </c>
      <c r="BW129" s="294">
        <v>0</v>
      </c>
      <c r="BX129" s="294">
        <v>0</v>
      </c>
      <c r="BY129" s="294">
        <v>0</v>
      </c>
      <c r="BZ129" s="294">
        <v>0</v>
      </c>
      <c r="CA129" s="294">
        <v>0</v>
      </c>
      <c r="CB129" s="294">
        <v>0</v>
      </c>
      <c r="CC129" s="294">
        <v>0</v>
      </c>
      <c r="CD129" s="294">
        <v>-404556.43000000017</v>
      </c>
      <c r="CE129" s="294">
        <v>0</v>
      </c>
      <c r="CF129" s="294">
        <v>8713.75</v>
      </c>
      <c r="CG129" s="294">
        <v>0</v>
      </c>
      <c r="CH129" s="294">
        <v>0</v>
      </c>
      <c r="CI129" s="294">
        <f t="shared" si="1"/>
        <v>-395842.68000000017</v>
      </c>
      <c r="CJ129" s="294">
        <v>0</v>
      </c>
      <c r="CK129" s="294">
        <v>0</v>
      </c>
      <c r="CL129" s="294">
        <v>0</v>
      </c>
      <c r="CM129" s="294">
        <v>0</v>
      </c>
      <c r="CN129" s="294">
        <v>0</v>
      </c>
      <c r="CO129" s="294">
        <v>0</v>
      </c>
      <c r="CP129" s="294">
        <v>0</v>
      </c>
      <c r="CQ129" s="294">
        <v>0</v>
      </c>
      <c r="CR129" s="294">
        <v>0</v>
      </c>
      <c r="CS129" s="294">
        <v>0</v>
      </c>
      <c r="CT129" s="294">
        <v>0</v>
      </c>
      <c r="CU129" s="294">
        <v>0</v>
      </c>
      <c r="CV129" s="294">
        <v>0</v>
      </c>
      <c r="CW129" s="294">
        <v>0</v>
      </c>
      <c r="CX129" s="294"/>
      <c r="CY129" s="294"/>
      <c r="CZ129" s="294"/>
      <c r="DA129" s="294">
        <v>-395842.68000000017</v>
      </c>
      <c r="DB129" s="294">
        <v>-395842.68000000017</v>
      </c>
      <c r="DC129" s="294">
        <v>0</v>
      </c>
      <c r="DD129" s="294">
        <v>0</v>
      </c>
      <c r="DE129" s="294">
        <v>0</v>
      </c>
      <c r="DF129" s="294">
        <v>0</v>
      </c>
      <c r="DG129" s="294">
        <v>0</v>
      </c>
      <c r="DH129" s="294">
        <v>0</v>
      </c>
      <c r="DI129" s="294">
        <v>0</v>
      </c>
      <c r="DJ129" s="294">
        <v>0</v>
      </c>
      <c r="DK129" s="294">
        <v>0</v>
      </c>
      <c r="DL129" s="294">
        <v>0</v>
      </c>
      <c r="DM129" s="294">
        <v>0</v>
      </c>
      <c r="DN129" s="294">
        <v>0</v>
      </c>
      <c r="DO129" s="294">
        <v>0</v>
      </c>
      <c r="DP129" s="294">
        <v>0</v>
      </c>
      <c r="DQ129" s="324">
        <v>0</v>
      </c>
      <c r="DR129" s="295">
        <v>1931579.0099999995</v>
      </c>
      <c r="DS129" s="325">
        <v>706759.98000000021</v>
      </c>
      <c r="DT129" s="295">
        <v>51445.120000000003</v>
      </c>
      <c r="DU129" s="295">
        <v>60463.649999999994</v>
      </c>
      <c r="DV129" s="295">
        <v>0</v>
      </c>
      <c r="DW129" s="295">
        <v>0</v>
      </c>
    </row>
    <row r="130" spans="1:127">
      <c r="A130" s="321">
        <v>2159</v>
      </c>
      <c r="B130" s="322" t="s">
        <v>449</v>
      </c>
      <c r="C130" s="321">
        <v>2159</v>
      </c>
      <c r="D130" s="323" t="s">
        <v>817</v>
      </c>
      <c r="E130" s="323" t="s">
        <v>539</v>
      </c>
      <c r="F130" s="323" t="s">
        <v>818</v>
      </c>
      <c r="G130" s="323" t="s">
        <v>537</v>
      </c>
      <c r="H130" s="294">
        <v>1290791.95</v>
      </c>
      <c r="I130" s="294">
        <v>0</v>
      </c>
      <c r="J130" s="294">
        <v>71861.070000000007</v>
      </c>
      <c r="K130" s="294">
        <v>0</v>
      </c>
      <c r="L130" s="294">
        <v>137640</v>
      </c>
      <c r="M130" s="294">
        <v>3256.93</v>
      </c>
      <c r="N130" s="294">
        <v>0</v>
      </c>
      <c r="O130" s="294">
        <v>0</v>
      </c>
      <c r="P130" s="294">
        <v>9957.7199999999993</v>
      </c>
      <c r="Q130" s="294">
        <v>0</v>
      </c>
      <c r="R130" s="294">
        <v>0</v>
      </c>
      <c r="S130" s="294">
        <v>0</v>
      </c>
      <c r="T130" s="294">
        <v>877</v>
      </c>
      <c r="U130" s="294">
        <v>6450.24</v>
      </c>
      <c r="V130" s="294">
        <v>0</v>
      </c>
      <c r="W130" s="294">
        <v>6121.67</v>
      </c>
      <c r="X130" s="294">
        <v>41470</v>
      </c>
      <c r="Y130" s="294">
        <v>1568426.5799999998</v>
      </c>
      <c r="Z130" s="294">
        <v>704159.43000000028</v>
      </c>
      <c r="AA130" s="294">
        <v>0</v>
      </c>
      <c r="AB130" s="294">
        <v>267471.06</v>
      </c>
      <c r="AC130" s="294">
        <v>37817.319999999832</v>
      </c>
      <c r="AD130" s="294">
        <v>98422.96</v>
      </c>
      <c r="AE130" s="294">
        <v>0</v>
      </c>
      <c r="AF130" s="294">
        <v>42626.769999999873</v>
      </c>
      <c r="AG130" s="294">
        <v>4554.9400000000296</v>
      </c>
      <c r="AH130" s="294">
        <v>925</v>
      </c>
      <c r="AI130" s="294">
        <v>0</v>
      </c>
      <c r="AJ130" s="294">
        <v>0</v>
      </c>
      <c r="AK130" s="294">
        <v>8316.32</v>
      </c>
      <c r="AL130" s="294">
        <v>521.48</v>
      </c>
      <c r="AM130" s="294">
        <v>24804.240000000005</v>
      </c>
      <c r="AN130" s="294">
        <v>4073.29</v>
      </c>
      <c r="AO130" s="294">
        <v>32090.579999999998</v>
      </c>
      <c r="AP130" s="294">
        <v>16658.41</v>
      </c>
      <c r="AQ130" s="294">
        <v>1860.7800000000004</v>
      </c>
      <c r="AR130" s="294">
        <v>26055.629999999979</v>
      </c>
      <c r="AS130" s="294">
        <v>23024.170000000002</v>
      </c>
      <c r="AT130" s="294">
        <v>0</v>
      </c>
      <c r="AU130" s="294">
        <v>4741.829999999999</v>
      </c>
      <c r="AV130" s="294">
        <v>5889.66</v>
      </c>
      <c r="AW130" s="294">
        <v>4600</v>
      </c>
      <c r="AX130" s="294">
        <v>94580.96</v>
      </c>
      <c r="AY130" s="294">
        <v>85773.28</v>
      </c>
      <c r="AZ130" s="294">
        <v>5064.1400000000003</v>
      </c>
      <c r="BA130" s="294">
        <v>72037.640000000014</v>
      </c>
      <c r="BB130" s="294">
        <v>0</v>
      </c>
      <c r="BC130" s="294">
        <v>0</v>
      </c>
      <c r="BD130" s="294">
        <v>0</v>
      </c>
      <c r="BE130" s="294">
        <v>1566069.8899999997</v>
      </c>
      <c r="BF130" s="294">
        <v>6013.8600000000188</v>
      </c>
      <c r="BG130" s="294">
        <v>2356.690000000177</v>
      </c>
      <c r="BH130" s="294">
        <v>8370.5500000001957</v>
      </c>
      <c r="BI130" s="294">
        <v>6295</v>
      </c>
      <c r="BJ130" s="294">
        <v>0</v>
      </c>
      <c r="BK130" s="294">
        <v>0</v>
      </c>
      <c r="BL130" s="294">
        <v>6295</v>
      </c>
      <c r="BM130" s="294">
        <v>0</v>
      </c>
      <c r="BN130" s="294">
        <v>8842.24</v>
      </c>
      <c r="BO130" s="294">
        <v>0</v>
      </c>
      <c r="BP130" s="294">
        <v>0</v>
      </c>
      <c r="BQ130" s="294">
        <v>8842.24</v>
      </c>
      <c r="BR130" s="294">
        <v>2909.0400000000009</v>
      </c>
      <c r="BS130" s="294">
        <v>-2547.2399999999998</v>
      </c>
      <c r="BT130" s="294">
        <v>361.80000000000109</v>
      </c>
      <c r="BU130" s="294">
        <v>0</v>
      </c>
      <c r="BV130" s="294">
        <v>0</v>
      </c>
      <c r="BW130" s="294">
        <v>0</v>
      </c>
      <c r="BX130" s="294">
        <v>0</v>
      </c>
      <c r="BY130" s="294">
        <v>0</v>
      </c>
      <c r="BZ130" s="294">
        <v>0</v>
      </c>
      <c r="CA130" s="294">
        <v>0</v>
      </c>
      <c r="CB130" s="294">
        <v>0</v>
      </c>
      <c r="CC130" s="294">
        <v>0</v>
      </c>
      <c r="CD130" s="294">
        <v>8370.5500000001957</v>
      </c>
      <c r="CE130" s="294">
        <v>0</v>
      </c>
      <c r="CF130" s="294">
        <v>361.80000000000109</v>
      </c>
      <c r="CG130" s="294">
        <v>0</v>
      </c>
      <c r="CH130" s="294">
        <v>0</v>
      </c>
      <c r="CI130" s="294">
        <f t="shared" si="1"/>
        <v>8732.3500000001968</v>
      </c>
      <c r="CJ130" s="294">
        <v>115056.02</v>
      </c>
      <c r="CK130" s="294">
        <v>3392.08</v>
      </c>
      <c r="CL130" s="294">
        <v>0</v>
      </c>
      <c r="CM130" s="294">
        <v>111663.94</v>
      </c>
      <c r="CN130" s="294">
        <v>0</v>
      </c>
      <c r="CO130" s="294">
        <v>0</v>
      </c>
      <c r="CP130" s="294">
        <v>2779.85</v>
      </c>
      <c r="CQ130" s="294">
        <v>0</v>
      </c>
      <c r="CR130" s="294">
        <v>-94501.15</v>
      </c>
      <c r="CS130" s="294">
        <v>19942.640000000014</v>
      </c>
      <c r="CT130" s="294">
        <v>0</v>
      </c>
      <c r="CU130" s="294">
        <v>0</v>
      </c>
      <c r="CV130" s="294">
        <v>0</v>
      </c>
      <c r="CW130" s="294">
        <v>0</v>
      </c>
      <c r="CX130" s="294"/>
      <c r="CY130" s="294"/>
      <c r="CZ130" s="294"/>
      <c r="DA130" s="294">
        <v>0</v>
      </c>
      <c r="DB130" s="294">
        <v>0</v>
      </c>
      <c r="DC130" s="294">
        <v>0</v>
      </c>
      <c r="DD130" s="294">
        <v>139.52000000000001</v>
      </c>
      <c r="DE130" s="294">
        <v>0</v>
      </c>
      <c r="DF130" s="294">
        <v>0</v>
      </c>
      <c r="DG130" s="294">
        <v>-11349.8</v>
      </c>
      <c r="DH130" s="294">
        <v>0</v>
      </c>
      <c r="DI130" s="294">
        <v>0</v>
      </c>
      <c r="DJ130" s="294">
        <v>0</v>
      </c>
      <c r="DK130" s="294">
        <v>-11210.279999999999</v>
      </c>
      <c r="DL130" s="294">
        <v>0</v>
      </c>
      <c r="DM130" s="294">
        <v>0</v>
      </c>
      <c r="DN130" s="294">
        <v>0</v>
      </c>
      <c r="DO130" s="294">
        <v>0</v>
      </c>
      <c r="DP130" s="294">
        <v>0</v>
      </c>
      <c r="DQ130" s="324">
        <v>-0.33000000001629815</v>
      </c>
      <c r="DR130" s="295">
        <v>1155052.4799999997</v>
      </c>
      <c r="DS130" s="325">
        <v>411017.40999999992</v>
      </c>
      <c r="DT130" s="295">
        <v>85773.28</v>
      </c>
      <c r="DU130" s="295">
        <v>10834.72</v>
      </c>
      <c r="DV130" s="295">
        <v>6450.24</v>
      </c>
      <c r="DW130" s="295">
        <v>0</v>
      </c>
    </row>
    <row r="131" spans="1:127">
      <c r="A131" s="321">
        <v>2161</v>
      </c>
      <c r="B131" s="322" t="s">
        <v>450</v>
      </c>
      <c r="C131" s="321">
        <v>2161</v>
      </c>
      <c r="D131" s="323" t="s">
        <v>817</v>
      </c>
      <c r="E131" s="323" t="s">
        <v>539</v>
      </c>
      <c r="F131" s="323" t="s">
        <v>818</v>
      </c>
      <c r="G131" s="323" t="s">
        <v>537</v>
      </c>
      <c r="H131" s="294">
        <v>1685502.7</v>
      </c>
      <c r="I131" s="294">
        <v>0</v>
      </c>
      <c r="J131" s="294">
        <v>118070.72</v>
      </c>
      <c r="K131" s="294">
        <v>0</v>
      </c>
      <c r="L131" s="294">
        <v>172940</v>
      </c>
      <c r="M131" s="294">
        <v>571.29</v>
      </c>
      <c r="N131" s="294">
        <v>0</v>
      </c>
      <c r="O131" s="294">
        <v>0</v>
      </c>
      <c r="P131" s="294">
        <v>37647.539999999994</v>
      </c>
      <c r="Q131" s="294">
        <v>0</v>
      </c>
      <c r="R131" s="294">
        <v>0</v>
      </c>
      <c r="S131" s="294">
        <v>0</v>
      </c>
      <c r="T131" s="294">
        <v>0</v>
      </c>
      <c r="U131" s="294">
        <v>0</v>
      </c>
      <c r="V131" s="294">
        <v>0</v>
      </c>
      <c r="W131" s="294">
        <v>3622.08</v>
      </c>
      <c r="X131" s="294">
        <v>89389</v>
      </c>
      <c r="Y131" s="294">
        <v>2107743.33</v>
      </c>
      <c r="Z131" s="294">
        <v>895967.51000000013</v>
      </c>
      <c r="AA131" s="294">
        <v>0</v>
      </c>
      <c r="AB131" s="294">
        <v>316178.46999999997</v>
      </c>
      <c r="AC131" s="294">
        <v>35051.790000000619</v>
      </c>
      <c r="AD131" s="294">
        <v>151996.34</v>
      </c>
      <c r="AE131" s="294">
        <v>0</v>
      </c>
      <c r="AF131" s="294">
        <v>162200.72000000029</v>
      </c>
      <c r="AG131" s="294">
        <v>6904.85</v>
      </c>
      <c r="AH131" s="294">
        <v>3597.8</v>
      </c>
      <c r="AI131" s="294">
        <v>0</v>
      </c>
      <c r="AJ131" s="294">
        <v>252</v>
      </c>
      <c r="AK131" s="294">
        <v>7895.3200000000006</v>
      </c>
      <c r="AL131" s="294">
        <v>2354.1599999999994</v>
      </c>
      <c r="AM131" s="294">
        <v>4905.5600000000004</v>
      </c>
      <c r="AN131" s="294">
        <v>4397.4799999999996</v>
      </c>
      <c r="AO131" s="294">
        <v>26143.22</v>
      </c>
      <c r="AP131" s="294">
        <v>14190.66</v>
      </c>
      <c r="AQ131" s="294">
        <v>14468.969999999998</v>
      </c>
      <c r="AR131" s="294">
        <v>44127.050000000025</v>
      </c>
      <c r="AS131" s="294">
        <v>4634.08</v>
      </c>
      <c r="AT131" s="294">
        <v>0</v>
      </c>
      <c r="AU131" s="294">
        <v>16178.019999999997</v>
      </c>
      <c r="AV131" s="294">
        <v>5139.75</v>
      </c>
      <c r="AW131" s="294">
        <v>9442.3300000000163</v>
      </c>
      <c r="AX131" s="294">
        <v>104931.47</v>
      </c>
      <c r="AY131" s="294">
        <v>174627.91</v>
      </c>
      <c r="AZ131" s="294">
        <v>6392.85</v>
      </c>
      <c r="BA131" s="294">
        <v>61763.510000000017</v>
      </c>
      <c r="BB131" s="294">
        <v>0</v>
      </c>
      <c r="BC131" s="294">
        <v>0</v>
      </c>
      <c r="BD131" s="294">
        <v>0</v>
      </c>
      <c r="BE131" s="294">
        <v>2073741.820000001</v>
      </c>
      <c r="BF131" s="294">
        <v>296676.60000000044</v>
      </c>
      <c r="BG131" s="294">
        <v>34001.509999999078</v>
      </c>
      <c r="BH131" s="294">
        <v>330678.10999999952</v>
      </c>
      <c r="BI131" s="294">
        <v>7197.25</v>
      </c>
      <c r="BJ131" s="294">
        <v>0</v>
      </c>
      <c r="BK131" s="294">
        <v>0</v>
      </c>
      <c r="BL131" s="294">
        <v>7197.25</v>
      </c>
      <c r="BM131" s="294">
        <v>0</v>
      </c>
      <c r="BN131" s="294">
        <v>10573.099999999999</v>
      </c>
      <c r="BO131" s="294">
        <v>0</v>
      </c>
      <c r="BP131" s="294">
        <v>0</v>
      </c>
      <c r="BQ131" s="294">
        <v>10573.099999999999</v>
      </c>
      <c r="BR131" s="294">
        <v>15412.759999999998</v>
      </c>
      <c r="BS131" s="294">
        <v>-3375.8499999999985</v>
      </c>
      <c r="BT131" s="294">
        <v>12036.91</v>
      </c>
      <c r="BU131" s="294">
        <v>0</v>
      </c>
      <c r="BV131" s="294">
        <v>0</v>
      </c>
      <c r="BW131" s="294">
        <v>0</v>
      </c>
      <c r="BX131" s="294">
        <v>0</v>
      </c>
      <c r="BY131" s="294">
        <v>0</v>
      </c>
      <c r="BZ131" s="294">
        <v>0</v>
      </c>
      <c r="CA131" s="294">
        <v>0</v>
      </c>
      <c r="CB131" s="294">
        <v>0</v>
      </c>
      <c r="CC131" s="294">
        <v>0</v>
      </c>
      <c r="CD131" s="294">
        <v>330678.10999999952</v>
      </c>
      <c r="CE131" s="294">
        <v>0</v>
      </c>
      <c r="CF131" s="294">
        <v>12036.91</v>
      </c>
      <c r="CG131" s="294">
        <v>0</v>
      </c>
      <c r="CH131" s="294">
        <v>0</v>
      </c>
      <c r="CI131" s="294">
        <f t="shared" si="1"/>
        <v>342715.01999999949</v>
      </c>
      <c r="CJ131" s="294">
        <v>455027.21</v>
      </c>
      <c r="CK131" s="294">
        <v>0</v>
      </c>
      <c r="CL131" s="294">
        <v>0</v>
      </c>
      <c r="CM131" s="294">
        <v>455027.21</v>
      </c>
      <c r="CN131" s="294">
        <v>0</v>
      </c>
      <c r="CO131" s="294">
        <v>0</v>
      </c>
      <c r="CP131" s="294">
        <v>11824.03</v>
      </c>
      <c r="CQ131" s="294">
        <v>0</v>
      </c>
      <c r="CR131" s="294">
        <v>-133522.28</v>
      </c>
      <c r="CS131" s="294">
        <v>333328.96000000008</v>
      </c>
      <c r="CT131" s="294">
        <v>0</v>
      </c>
      <c r="CU131" s="294">
        <v>0</v>
      </c>
      <c r="CV131" s="294">
        <v>0</v>
      </c>
      <c r="CW131" s="294">
        <v>0</v>
      </c>
      <c r="CX131" s="294"/>
      <c r="CY131" s="294"/>
      <c r="CZ131" s="294"/>
      <c r="DA131" s="294">
        <v>0</v>
      </c>
      <c r="DB131" s="294">
        <v>0</v>
      </c>
      <c r="DC131" s="294">
        <v>0</v>
      </c>
      <c r="DD131" s="294">
        <v>9386.0499999999993</v>
      </c>
      <c r="DE131" s="294">
        <v>0</v>
      </c>
      <c r="DF131" s="294">
        <v>0</v>
      </c>
      <c r="DG131" s="294">
        <v>0</v>
      </c>
      <c r="DH131" s="294">
        <v>0</v>
      </c>
      <c r="DI131" s="294">
        <v>0</v>
      </c>
      <c r="DJ131" s="294">
        <v>0</v>
      </c>
      <c r="DK131" s="294">
        <v>9386.0499999999993</v>
      </c>
      <c r="DL131" s="294">
        <v>0</v>
      </c>
      <c r="DM131" s="294">
        <v>0</v>
      </c>
      <c r="DN131" s="294">
        <v>0</v>
      </c>
      <c r="DO131" s="294">
        <v>0</v>
      </c>
      <c r="DP131" s="294">
        <v>0</v>
      </c>
      <c r="DQ131" s="324"/>
      <c r="DR131" s="295">
        <v>1568299.6800000009</v>
      </c>
      <c r="DS131" s="325">
        <v>505442.14000000013</v>
      </c>
      <c r="DT131" s="295">
        <v>174627.91</v>
      </c>
      <c r="DU131" s="295">
        <v>37647.539999999994</v>
      </c>
      <c r="DV131" s="295">
        <v>0</v>
      </c>
      <c r="DW131" s="295">
        <v>0</v>
      </c>
    </row>
    <row r="132" spans="1:127">
      <c r="A132" s="321">
        <v>2160</v>
      </c>
      <c r="B132" s="322" t="s">
        <v>505</v>
      </c>
      <c r="C132" s="321">
        <v>2160</v>
      </c>
      <c r="D132" s="323" t="s">
        <v>817</v>
      </c>
      <c r="E132" s="323" t="s">
        <v>539</v>
      </c>
      <c r="F132" s="323" t="s">
        <v>818</v>
      </c>
      <c r="G132" s="323" t="s">
        <v>537</v>
      </c>
      <c r="H132" s="294">
        <v>1999457.1</v>
      </c>
      <c r="I132" s="294">
        <v>0</v>
      </c>
      <c r="J132" s="294">
        <v>65404.89</v>
      </c>
      <c r="K132" s="294">
        <v>0</v>
      </c>
      <c r="L132" s="294">
        <v>289080</v>
      </c>
      <c r="M132" s="294">
        <v>8628.2199999999993</v>
      </c>
      <c r="N132" s="294">
        <v>0</v>
      </c>
      <c r="O132" s="294">
        <v>0</v>
      </c>
      <c r="P132" s="294">
        <v>117099.69</v>
      </c>
      <c r="Q132" s="294">
        <v>25595.16</v>
      </c>
      <c r="R132" s="294">
        <v>0</v>
      </c>
      <c r="S132" s="294">
        <v>0</v>
      </c>
      <c r="T132" s="294">
        <v>15348.929999999993</v>
      </c>
      <c r="U132" s="294">
        <v>2650</v>
      </c>
      <c r="V132" s="294">
        <v>0</v>
      </c>
      <c r="W132" s="294">
        <v>18049.8</v>
      </c>
      <c r="X132" s="294">
        <v>19452</v>
      </c>
      <c r="Y132" s="294">
        <v>2560765.7900000005</v>
      </c>
      <c r="Z132" s="294">
        <v>1226885</v>
      </c>
      <c r="AA132" s="294">
        <v>0</v>
      </c>
      <c r="AB132" s="294">
        <v>441601.99</v>
      </c>
      <c r="AC132" s="294">
        <v>43166.000000000466</v>
      </c>
      <c r="AD132" s="294">
        <v>135706</v>
      </c>
      <c r="AE132" s="294">
        <v>0</v>
      </c>
      <c r="AF132" s="294">
        <v>152549.99999999919</v>
      </c>
      <c r="AG132" s="294">
        <v>8011.0000000000182</v>
      </c>
      <c r="AH132" s="294">
        <v>11590</v>
      </c>
      <c r="AI132" s="294">
        <v>0</v>
      </c>
      <c r="AJ132" s="294">
        <v>0</v>
      </c>
      <c r="AK132" s="294">
        <v>44196.85</v>
      </c>
      <c r="AL132" s="294">
        <v>3867.49</v>
      </c>
      <c r="AM132" s="294">
        <v>45908</v>
      </c>
      <c r="AN132" s="294">
        <v>5411</v>
      </c>
      <c r="AO132" s="294">
        <v>36651.829999999994</v>
      </c>
      <c r="AP132" s="294">
        <v>26354.1</v>
      </c>
      <c r="AQ132" s="294">
        <v>5525</v>
      </c>
      <c r="AR132" s="294">
        <v>108765.63999999977</v>
      </c>
      <c r="AS132" s="294">
        <v>39844</v>
      </c>
      <c r="AT132" s="294">
        <v>48.08</v>
      </c>
      <c r="AU132" s="294">
        <v>117012.65</v>
      </c>
      <c r="AV132" s="294">
        <v>10771</v>
      </c>
      <c r="AW132" s="294">
        <v>9430</v>
      </c>
      <c r="AX132" s="294">
        <v>88696</v>
      </c>
      <c r="AY132" s="294">
        <v>96658.709999999992</v>
      </c>
      <c r="AZ132" s="294">
        <v>12422.68</v>
      </c>
      <c r="BA132" s="294">
        <v>78714</v>
      </c>
      <c r="BB132" s="294">
        <v>-3114.38</v>
      </c>
      <c r="BC132" s="294">
        <v>0</v>
      </c>
      <c r="BD132" s="294">
        <v>0</v>
      </c>
      <c r="BE132" s="294">
        <v>2746672.64</v>
      </c>
      <c r="BF132" s="294">
        <v>392473.2</v>
      </c>
      <c r="BG132" s="294">
        <v>-185906.84999999963</v>
      </c>
      <c r="BH132" s="294">
        <v>206566.35000000038</v>
      </c>
      <c r="BI132" s="294">
        <v>7870</v>
      </c>
      <c r="BJ132" s="294">
        <v>0</v>
      </c>
      <c r="BK132" s="294">
        <v>0</v>
      </c>
      <c r="BL132" s="294">
        <v>7870</v>
      </c>
      <c r="BM132" s="294">
        <v>0</v>
      </c>
      <c r="BN132" s="294">
        <v>3699.2</v>
      </c>
      <c r="BO132" s="294">
        <v>0</v>
      </c>
      <c r="BP132" s="294">
        <v>0</v>
      </c>
      <c r="BQ132" s="294">
        <v>3699.2</v>
      </c>
      <c r="BR132" s="294">
        <v>0</v>
      </c>
      <c r="BS132" s="294">
        <v>4170.8</v>
      </c>
      <c r="BT132" s="294">
        <v>4170.8</v>
      </c>
      <c r="BU132" s="294">
        <v>0</v>
      </c>
      <c r="BV132" s="294">
        <v>0</v>
      </c>
      <c r="BW132" s="294">
        <v>0</v>
      </c>
      <c r="BX132" s="294">
        <v>0</v>
      </c>
      <c r="BY132" s="294">
        <v>0</v>
      </c>
      <c r="BZ132" s="294">
        <v>0</v>
      </c>
      <c r="CA132" s="294">
        <v>0</v>
      </c>
      <c r="CB132" s="294">
        <v>0</v>
      </c>
      <c r="CC132" s="294">
        <v>0</v>
      </c>
      <c r="CD132" s="294">
        <v>206566.35000000038</v>
      </c>
      <c r="CE132" s="294">
        <v>0</v>
      </c>
      <c r="CF132" s="294">
        <v>4170.8</v>
      </c>
      <c r="CG132" s="294">
        <v>0</v>
      </c>
      <c r="CH132" s="294">
        <v>0</v>
      </c>
      <c r="CI132" s="294">
        <f t="shared" si="1"/>
        <v>210737.15000000037</v>
      </c>
      <c r="CJ132" s="294">
        <v>408349.24</v>
      </c>
      <c r="CK132" s="294">
        <v>231.2</v>
      </c>
      <c r="CL132" s="294">
        <v>0</v>
      </c>
      <c r="CM132" s="294">
        <v>408118.04</v>
      </c>
      <c r="CN132" s="294">
        <v>0</v>
      </c>
      <c r="CO132" s="294">
        <v>0</v>
      </c>
      <c r="CP132" s="294">
        <v>5363.81</v>
      </c>
      <c r="CQ132" s="294">
        <v>0</v>
      </c>
      <c r="CR132" s="294">
        <v>-162900</v>
      </c>
      <c r="CS132" s="294">
        <v>250581.84999999998</v>
      </c>
      <c r="CT132" s="294">
        <v>0</v>
      </c>
      <c r="CU132" s="294">
        <v>0</v>
      </c>
      <c r="CV132" s="294">
        <v>0</v>
      </c>
      <c r="CW132" s="294">
        <v>0</v>
      </c>
      <c r="CX132" s="294"/>
      <c r="CY132" s="294"/>
      <c r="CZ132" s="294"/>
      <c r="DA132" s="294">
        <v>0</v>
      </c>
      <c r="DB132" s="294">
        <v>0</v>
      </c>
      <c r="DC132" s="294">
        <v>0</v>
      </c>
      <c r="DD132" s="294">
        <v>11737.59</v>
      </c>
      <c r="DE132" s="294">
        <v>0</v>
      </c>
      <c r="DF132" s="294">
        <v>0</v>
      </c>
      <c r="DG132" s="294">
        <v>-51337.32</v>
      </c>
      <c r="DH132" s="294">
        <v>-245</v>
      </c>
      <c r="DI132" s="294">
        <v>0</v>
      </c>
      <c r="DJ132" s="294">
        <v>0</v>
      </c>
      <c r="DK132" s="294">
        <v>-39844.729999999996</v>
      </c>
      <c r="DL132" s="294">
        <v>0</v>
      </c>
      <c r="DM132" s="294">
        <v>0</v>
      </c>
      <c r="DN132" s="294">
        <v>0</v>
      </c>
      <c r="DO132" s="294">
        <v>0</v>
      </c>
      <c r="DP132" s="294">
        <v>0</v>
      </c>
      <c r="DQ132" s="324">
        <v>2.9999999998835847E-2</v>
      </c>
      <c r="DR132" s="295">
        <v>2007919.9899999998</v>
      </c>
      <c r="DS132" s="325">
        <v>738752.65000000037</v>
      </c>
      <c r="DT132" s="295">
        <v>96658.709999999992</v>
      </c>
      <c r="DU132" s="295">
        <v>158043.78</v>
      </c>
      <c r="DV132" s="295">
        <v>2650</v>
      </c>
      <c r="DW132" s="295">
        <v>0</v>
      </c>
    </row>
    <row r="133" spans="1:127">
      <c r="A133" s="321">
        <v>2063</v>
      </c>
      <c r="B133" s="322" t="s">
        <v>506</v>
      </c>
      <c r="C133" s="321">
        <v>2063</v>
      </c>
      <c r="D133" s="323" t="s">
        <v>817</v>
      </c>
      <c r="E133" s="323" t="s">
        <v>539</v>
      </c>
      <c r="F133" s="323" t="s">
        <v>818</v>
      </c>
      <c r="G133" s="323" t="s">
        <v>537</v>
      </c>
      <c r="H133" s="294">
        <v>2786446.09</v>
      </c>
      <c r="I133" s="294">
        <v>0</v>
      </c>
      <c r="J133" s="294">
        <v>97753.47</v>
      </c>
      <c r="K133" s="294">
        <v>0</v>
      </c>
      <c r="L133" s="294">
        <v>355200</v>
      </c>
      <c r="M133" s="294">
        <v>400</v>
      </c>
      <c r="N133" s="294">
        <v>0</v>
      </c>
      <c r="O133" s="294">
        <v>0</v>
      </c>
      <c r="P133" s="294">
        <v>98630.43</v>
      </c>
      <c r="Q133" s="294">
        <v>12184.92</v>
      </c>
      <c r="R133" s="294">
        <v>0</v>
      </c>
      <c r="S133" s="294">
        <v>4189.17</v>
      </c>
      <c r="T133" s="294">
        <v>8416.35</v>
      </c>
      <c r="U133" s="294">
        <v>13902.32</v>
      </c>
      <c r="V133" s="294">
        <v>0</v>
      </c>
      <c r="W133" s="294">
        <v>21368.13</v>
      </c>
      <c r="X133" s="294">
        <v>49435</v>
      </c>
      <c r="Y133" s="294">
        <v>3447925.88</v>
      </c>
      <c r="Z133" s="294">
        <v>1720954.31</v>
      </c>
      <c r="AA133" s="294">
        <v>0</v>
      </c>
      <c r="AB133" s="294">
        <v>395950.69</v>
      </c>
      <c r="AC133" s="294">
        <v>140094.14999999723</v>
      </c>
      <c r="AD133" s="294">
        <v>212776.8</v>
      </c>
      <c r="AE133" s="294">
        <v>107741.93</v>
      </c>
      <c r="AF133" s="294">
        <v>118557.04999999964</v>
      </c>
      <c r="AG133" s="294">
        <v>16857.12000000005</v>
      </c>
      <c r="AH133" s="294">
        <v>4802.33</v>
      </c>
      <c r="AI133" s="294">
        <v>0</v>
      </c>
      <c r="AJ133" s="294">
        <v>0</v>
      </c>
      <c r="AK133" s="294">
        <v>43290.17</v>
      </c>
      <c r="AL133" s="294">
        <v>0</v>
      </c>
      <c r="AM133" s="294">
        <v>4746.6400000000003</v>
      </c>
      <c r="AN133" s="294">
        <v>25262.27</v>
      </c>
      <c r="AO133" s="294">
        <v>61168.280000000006</v>
      </c>
      <c r="AP133" s="294">
        <v>56709.66</v>
      </c>
      <c r="AQ133" s="294">
        <v>9569.4</v>
      </c>
      <c r="AR133" s="294">
        <v>192268.52000000008</v>
      </c>
      <c r="AS133" s="294">
        <v>41223.42</v>
      </c>
      <c r="AT133" s="294">
        <v>0</v>
      </c>
      <c r="AU133" s="294">
        <v>21498.41</v>
      </c>
      <c r="AV133" s="294">
        <v>24501.010000000002</v>
      </c>
      <c r="AW133" s="294">
        <v>0</v>
      </c>
      <c r="AX133" s="294">
        <v>61409.24</v>
      </c>
      <c r="AY133" s="294">
        <v>14478.81</v>
      </c>
      <c r="AZ133" s="294">
        <v>105798.63</v>
      </c>
      <c r="BA133" s="294">
        <v>22953.299999999996</v>
      </c>
      <c r="BB133" s="294">
        <v>0</v>
      </c>
      <c r="BC133" s="294">
        <v>0</v>
      </c>
      <c r="BD133" s="294">
        <v>0</v>
      </c>
      <c r="BE133" s="294">
        <v>3402612.1399999969</v>
      </c>
      <c r="BF133" s="294">
        <v>103101.9899999995</v>
      </c>
      <c r="BG133" s="294">
        <v>45313.740000003017</v>
      </c>
      <c r="BH133" s="294">
        <v>148415.73000000251</v>
      </c>
      <c r="BI133" s="294">
        <v>9045.6299999999992</v>
      </c>
      <c r="BJ133" s="294">
        <v>0</v>
      </c>
      <c r="BK133" s="294">
        <v>0</v>
      </c>
      <c r="BL133" s="294">
        <v>9045.6299999999992</v>
      </c>
      <c r="BM133" s="294">
        <v>0</v>
      </c>
      <c r="BN133" s="294">
        <v>15521</v>
      </c>
      <c r="BO133" s="294">
        <v>0</v>
      </c>
      <c r="BP133" s="294">
        <v>0</v>
      </c>
      <c r="BQ133" s="294">
        <v>15521</v>
      </c>
      <c r="BR133" s="294">
        <v>60531.95</v>
      </c>
      <c r="BS133" s="294">
        <v>-6475.3700000000008</v>
      </c>
      <c r="BT133" s="294">
        <v>54056.579999999994</v>
      </c>
      <c r="BU133" s="294">
        <v>0</v>
      </c>
      <c r="BV133" s="294">
        <v>0</v>
      </c>
      <c r="BW133" s="294">
        <v>0</v>
      </c>
      <c r="BX133" s="294">
        <v>0</v>
      </c>
      <c r="BY133" s="294">
        <v>0</v>
      </c>
      <c r="BZ133" s="294">
        <v>0</v>
      </c>
      <c r="CA133" s="294">
        <v>0</v>
      </c>
      <c r="CB133" s="294">
        <v>0</v>
      </c>
      <c r="CC133" s="294">
        <v>0</v>
      </c>
      <c r="CD133" s="294">
        <v>148415.73000000251</v>
      </c>
      <c r="CE133" s="294">
        <v>0</v>
      </c>
      <c r="CF133" s="294">
        <v>54056.579999999994</v>
      </c>
      <c r="CG133" s="294">
        <v>0</v>
      </c>
      <c r="CH133" s="294">
        <v>0</v>
      </c>
      <c r="CI133" s="294">
        <f t="shared" si="1"/>
        <v>202472.3100000025</v>
      </c>
      <c r="CJ133" s="294">
        <v>414892.5</v>
      </c>
      <c r="CK133" s="294">
        <v>0</v>
      </c>
      <c r="CL133" s="294">
        <v>0</v>
      </c>
      <c r="CM133" s="294">
        <v>414892.5</v>
      </c>
      <c r="CN133" s="294">
        <v>0</v>
      </c>
      <c r="CO133" s="294">
        <v>0</v>
      </c>
      <c r="CP133" s="294">
        <v>11425.3</v>
      </c>
      <c r="CQ133" s="294">
        <v>0</v>
      </c>
      <c r="CR133" s="294">
        <v>-227783.04499999984</v>
      </c>
      <c r="CS133" s="294">
        <v>198534.75500000015</v>
      </c>
      <c r="CT133" s="294">
        <v>0</v>
      </c>
      <c r="CU133" s="294">
        <v>0</v>
      </c>
      <c r="CV133" s="294">
        <v>0</v>
      </c>
      <c r="CW133" s="294">
        <v>0</v>
      </c>
      <c r="CX133" s="294"/>
      <c r="CY133" s="294"/>
      <c r="CZ133" s="294"/>
      <c r="DA133" s="294">
        <v>0</v>
      </c>
      <c r="DB133" s="294">
        <v>0</v>
      </c>
      <c r="DC133" s="294">
        <v>0</v>
      </c>
      <c r="DD133" s="294">
        <v>3937.55</v>
      </c>
      <c r="DE133" s="294">
        <v>0</v>
      </c>
      <c r="DF133" s="294">
        <v>0</v>
      </c>
      <c r="DG133" s="294">
        <v>0</v>
      </c>
      <c r="DH133" s="294">
        <v>0</v>
      </c>
      <c r="DI133" s="294">
        <v>0</v>
      </c>
      <c r="DJ133" s="294">
        <v>0</v>
      </c>
      <c r="DK133" s="294">
        <v>3937.55</v>
      </c>
      <c r="DL133" s="294">
        <v>0</v>
      </c>
      <c r="DM133" s="294">
        <v>0</v>
      </c>
      <c r="DN133" s="294">
        <v>0</v>
      </c>
      <c r="DO133" s="294">
        <v>0</v>
      </c>
      <c r="DP133" s="294">
        <v>0</v>
      </c>
      <c r="DQ133" s="324">
        <v>4.9999998591374606E-3</v>
      </c>
      <c r="DR133" s="295">
        <v>2712932.049999997</v>
      </c>
      <c r="DS133" s="325">
        <v>689680.08999999985</v>
      </c>
      <c r="DT133" s="295">
        <v>14478.81</v>
      </c>
      <c r="DU133" s="295">
        <v>119231.7</v>
      </c>
      <c r="DV133" s="295">
        <v>18091.489999999998</v>
      </c>
      <c r="DW133" s="295">
        <v>0</v>
      </c>
    </row>
    <row r="134" spans="1:127">
      <c r="A134" s="321">
        <v>1018</v>
      </c>
      <c r="B134" s="322" t="s">
        <v>451</v>
      </c>
      <c r="C134" s="321">
        <v>1018</v>
      </c>
      <c r="D134" s="323" t="s">
        <v>817</v>
      </c>
      <c r="E134" s="323" t="s">
        <v>536</v>
      </c>
      <c r="F134" s="323" t="s">
        <v>818</v>
      </c>
      <c r="G134" s="323" t="s">
        <v>537</v>
      </c>
      <c r="H134" s="294">
        <v>1034145.99</v>
      </c>
      <c r="I134" s="294">
        <v>0</v>
      </c>
      <c r="J134" s="294">
        <v>40298.93</v>
      </c>
      <c r="K134" s="294">
        <v>0</v>
      </c>
      <c r="L134" s="294">
        <v>0</v>
      </c>
      <c r="M134" s="294">
        <v>0</v>
      </c>
      <c r="N134" s="294">
        <v>0</v>
      </c>
      <c r="O134" s="294">
        <v>0</v>
      </c>
      <c r="P134" s="294">
        <v>29483.1</v>
      </c>
      <c r="Q134" s="294">
        <v>0</v>
      </c>
      <c r="R134" s="294">
        <v>0</v>
      </c>
      <c r="S134" s="294">
        <v>0</v>
      </c>
      <c r="T134" s="294">
        <v>0</v>
      </c>
      <c r="U134" s="294">
        <v>60000</v>
      </c>
      <c r="V134" s="294">
        <v>0</v>
      </c>
      <c r="W134" s="294">
        <v>0</v>
      </c>
      <c r="X134" s="294">
        <v>0</v>
      </c>
      <c r="Y134" s="294">
        <v>1163928.02</v>
      </c>
      <c r="Z134" s="294">
        <v>154319.78000000006</v>
      </c>
      <c r="AA134" s="294">
        <v>294235.77999999997</v>
      </c>
      <c r="AB134" s="294">
        <v>0</v>
      </c>
      <c r="AC134" s="294">
        <v>26690.809999999867</v>
      </c>
      <c r="AD134" s="294">
        <v>35753.79</v>
      </c>
      <c r="AE134" s="294">
        <v>0</v>
      </c>
      <c r="AF134" s="294">
        <v>59347.590000000317</v>
      </c>
      <c r="AG134" s="294">
        <v>2249.1099999999806</v>
      </c>
      <c r="AH134" s="294">
        <v>2522.33</v>
      </c>
      <c r="AI134" s="294">
        <v>0</v>
      </c>
      <c r="AJ134" s="294">
        <v>0</v>
      </c>
      <c r="AK134" s="294">
        <v>3056.2599999999993</v>
      </c>
      <c r="AL134" s="294">
        <v>111</v>
      </c>
      <c r="AM134" s="294">
        <v>26260.720000000005</v>
      </c>
      <c r="AN134" s="294">
        <v>0</v>
      </c>
      <c r="AO134" s="294">
        <v>28834.730000000007</v>
      </c>
      <c r="AP134" s="294">
        <v>0</v>
      </c>
      <c r="AQ134" s="294">
        <v>7522.0399999999991</v>
      </c>
      <c r="AR134" s="294">
        <v>15092.889999999998</v>
      </c>
      <c r="AS134" s="294">
        <v>0</v>
      </c>
      <c r="AT134" s="294">
        <v>0</v>
      </c>
      <c r="AU134" s="294">
        <v>20945.230000000018</v>
      </c>
      <c r="AV134" s="294">
        <v>3291.75</v>
      </c>
      <c r="AW134" s="294">
        <v>0</v>
      </c>
      <c r="AX134" s="294">
        <v>13663.439999999999</v>
      </c>
      <c r="AY134" s="294">
        <v>38552.130000000012</v>
      </c>
      <c r="AZ134" s="294">
        <v>24.04</v>
      </c>
      <c r="BA134" s="294">
        <v>171684.02999999994</v>
      </c>
      <c r="BB134" s="294">
        <v>0</v>
      </c>
      <c r="BC134" s="294">
        <v>0</v>
      </c>
      <c r="BD134" s="294">
        <v>0</v>
      </c>
      <c r="BE134" s="294">
        <v>904157.45000000007</v>
      </c>
      <c r="BF134" s="294">
        <v>33813.389999999934</v>
      </c>
      <c r="BG134" s="294">
        <v>259770.56999999995</v>
      </c>
      <c r="BH134" s="294">
        <v>293583.9599999999</v>
      </c>
      <c r="BI134" s="294">
        <v>5127.25</v>
      </c>
      <c r="BJ134" s="294">
        <v>0</v>
      </c>
      <c r="BK134" s="294">
        <v>0</v>
      </c>
      <c r="BL134" s="294">
        <v>5127.25</v>
      </c>
      <c r="BM134" s="294">
        <v>0</v>
      </c>
      <c r="BN134" s="294">
        <v>0</v>
      </c>
      <c r="BO134" s="294">
        <v>0</v>
      </c>
      <c r="BP134" s="294">
        <v>0</v>
      </c>
      <c r="BQ134" s="294">
        <v>0</v>
      </c>
      <c r="BR134" s="294">
        <v>27780.32</v>
      </c>
      <c r="BS134" s="294">
        <v>5127.25</v>
      </c>
      <c r="BT134" s="294">
        <v>32907.57</v>
      </c>
      <c r="BU134" s="294">
        <v>0</v>
      </c>
      <c r="BV134" s="294">
        <v>0</v>
      </c>
      <c r="BW134" s="294">
        <v>0</v>
      </c>
      <c r="BX134" s="294">
        <v>0</v>
      </c>
      <c r="BY134" s="294">
        <v>0</v>
      </c>
      <c r="BZ134" s="294">
        <v>0</v>
      </c>
      <c r="CA134" s="294">
        <v>0</v>
      </c>
      <c r="CB134" s="294">
        <v>0</v>
      </c>
      <c r="CC134" s="294">
        <v>0</v>
      </c>
      <c r="CD134" s="294">
        <v>293583.9599999999</v>
      </c>
      <c r="CE134" s="294">
        <v>0</v>
      </c>
      <c r="CF134" s="294">
        <v>32907.57</v>
      </c>
      <c r="CG134" s="294">
        <v>0</v>
      </c>
      <c r="CH134" s="294">
        <v>0</v>
      </c>
      <c r="CI134" s="294">
        <f t="shared" si="1"/>
        <v>326491.52999999991</v>
      </c>
      <c r="CJ134" s="294">
        <v>32571.1</v>
      </c>
      <c r="CK134" s="294">
        <v>0</v>
      </c>
      <c r="CL134" s="294">
        <v>0</v>
      </c>
      <c r="CM134" s="294">
        <v>32571.1</v>
      </c>
      <c r="CN134" s="294">
        <v>0</v>
      </c>
      <c r="CO134" s="294">
        <v>0</v>
      </c>
      <c r="CP134" s="294">
        <v>0</v>
      </c>
      <c r="CQ134" s="294">
        <v>0</v>
      </c>
      <c r="CR134" s="294">
        <v>293135.96999999997</v>
      </c>
      <c r="CS134" s="294">
        <v>325707.06999999995</v>
      </c>
      <c r="CT134" s="294">
        <v>0</v>
      </c>
      <c r="CU134" s="294">
        <v>0</v>
      </c>
      <c r="CV134" s="294">
        <v>0</v>
      </c>
      <c r="CW134" s="294">
        <v>0</v>
      </c>
      <c r="CX134" s="294"/>
      <c r="CY134" s="294"/>
      <c r="CZ134" s="294"/>
      <c r="DA134" s="294">
        <v>0</v>
      </c>
      <c r="DB134" s="294">
        <v>0</v>
      </c>
      <c r="DC134" s="294">
        <v>0</v>
      </c>
      <c r="DD134" s="294">
        <v>784.47</v>
      </c>
      <c r="DE134" s="294">
        <v>0</v>
      </c>
      <c r="DF134" s="294">
        <v>0</v>
      </c>
      <c r="DG134" s="294">
        <v>0</v>
      </c>
      <c r="DH134" s="294">
        <v>0</v>
      </c>
      <c r="DI134" s="294">
        <v>0</v>
      </c>
      <c r="DJ134" s="294">
        <v>0</v>
      </c>
      <c r="DK134" s="294">
        <v>784.47</v>
      </c>
      <c r="DL134" s="294">
        <v>0</v>
      </c>
      <c r="DM134" s="294">
        <v>0</v>
      </c>
      <c r="DN134" s="294">
        <v>0</v>
      </c>
      <c r="DO134" s="294">
        <v>0</v>
      </c>
      <c r="DP134" s="294">
        <v>0</v>
      </c>
      <c r="DQ134" s="324">
        <v>-9.9999998928979039E-3</v>
      </c>
      <c r="DR134" s="295">
        <v>572596.86000000022</v>
      </c>
      <c r="DS134" s="325">
        <v>331560.58999999985</v>
      </c>
      <c r="DT134" s="295">
        <v>38552.130000000012</v>
      </c>
      <c r="DU134" s="295">
        <v>29483.1</v>
      </c>
      <c r="DV134" s="295">
        <v>60000</v>
      </c>
      <c r="DW134" s="295">
        <v>0</v>
      </c>
    </row>
    <row r="135" spans="1:127">
      <c r="A135" s="321">
        <v>1000</v>
      </c>
      <c r="B135" s="322" t="s">
        <v>452</v>
      </c>
      <c r="C135" s="321">
        <v>1000</v>
      </c>
      <c r="D135" s="323" t="s">
        <v>817</v>
      </c>
      <c r="E135" s="323" t="s">
        <v>536</v>
      </c>
      <c r="F135" s="323" t="s">
        <v>818</v>
      </c>
      <c r="G135" s="323" t="s">
        <v>800</v>
      </c>
      <c r="H135" s="294">
        <v>536701.67000000004</v>
      </c>
      <c r="I135" s="294">
        <v>0</v>
      </c>
      <c r="J135" s="294">
        <v>16440.759999999998</v>
      </c>
      <c r="K135" s="294">
        <v>0</v>
      </c>
      <c r="L135" s="294">
        <v>0</v>
      </c>
      <c r="M135" s="294">
        <v>0</v>
      </c>
      <c r="N135" s="294">
        <v>0</v>
      </c>
      <c r="O135" s="294">
        <v>0</v>
      </c>
      <c r="P135" s="294">
        <v>31189.240000000005</v>
      </c>
      <c r="Q135" s="294">
        <v>0</v>
      </c>
      <c r="R135" s="294">
        <v>0</v>
      </c>
      <c r="S135" s="294">
        <v>0</v>
      </c>
      <c r="T135" s="294">
        <v>73432.459999999992</v>
      </c>
      <c r="U135" s="294">
        <v>109794.18</v>
      </c>
      <c r="V135" s="294">
        <v>0</v>
      </c>
      <c r="W135" s="294">
        <v>0</v>
      </c>
      <c r="X135" s="294">
        <v>0</v>
      </c>
      <c r="Y135" s="294">
        <v>767558.31</v>
      </c>
      <c r="Z135" s="294">
        <v>193268.38000000015</v>
      </c>
      <c r="AA135" s="294">
        <v>0</v>
      </c>
      <c r="AB135" s="294">
        <v>169149.8</v>
      </c>
      <c r="AC135" s="294">
        <v>277.0999999998312</v>
      </c>
      <c r="AD135" s="294">
        <v>102422.28</v>
      </c>
      <c r="AE135" s="294">
        <v>0</v>
      </c>
      <c r="AF135" s="294">
        <v>7121.3999999999069</v>
      </c>
      <c r="AG135" s="294">
        <v>1445.3899999999931</v>
      </c>
      <c r="AH135" s="294">
        <v>3857</v>
      </c>
      <c r="AI135" s="294">
        <v>0</v>
      </c>
      <c r="AJ135" s="294">
        <v>0</v>
      </c>
      <c r="AK135" s="294">
        <v>39179.399999999994</v>
      </c>
      <c r="AL135" s="294">
        <v>0</v>
      </c>
      <c r="AM135" s="294">
        <v>2478.1799999999994</v>
      </c>
      <c r="AN135" s="294">
        <v>1932.8899999999999</v>
      </c>
      <c r="AO135" s="294">
        <v>8135.93</v>
      </c>
      <c r="AP135" s="294">
        <v>0</v>
      </c>
      <c r="AQ135" s="294">
        <v>2161.35</v>
      </c>
      <c r="AR135" s="294">
        <v>4581.7499999999982</v>
      </c>
      <c r="AS135" s="294">
        <v>375</v>
      </c>
      <c r="AT135" s="294">
        <v>0</v>
      </c>
      <c r="AU135" s="294">
        <v>10579.250000000004</v>
      </c>
      <c r="AV135" s="294">
        <v>3291.75</v>
      </c>
      <c r="AW135" s="294">
        <v>0</v>
      </c>
      <c r="AX135" s="294">
        <v>2670</v>
      </c>
      <c r="AY135" s="294">
        <v>7345.4999999999991</v>
      </c>
      <c r="AZ135" s="294">
        <v>0</v>
      </c>
      <c r="BA135" s="294">
        <v>62026.670000000013</v>
      </c>
      <c r="BB135" s="294">
        <v>0</v>
      </c>
      <c r="BC135" s="294">
        <v>0</v>
      </c>
      <c r="BD135" s="294">
        <v>0</v>
      </c>
      <c r="BE135" s="294">
        <v>622299.02</v>
      </c>
      <c r="BF135" s="294">
        <v>-98052.180000000226</v>
      </c>
      <c r="BG135" s="294">
        <v>145259.29000000004</v>
      </c>
      <c r="BH135" s="294">
        <v>47207.109999999811</v>
      </c>
      <c r="BI135" s="294">
        <v>4650.3599999999997</v>
      </c>
      <c r="BJ135" s="294">
        <v>0</v>
      </c>
      <c r="BK135" s="294">
        <v>0</v>
      </c>
      <c r="BL135" s="294">
        <v>4650.3599999999997</v>
      </c>
      <c r="BM135" s="294">
        <v>0</v>
      </c>
      <c r="BN135" s="294">
        <v>0</v>
      </c>
      <c r="BO135" s="294">
        <v>31282</v>
      </c>
      <c r="BP135" s="294">
        <v>0</v>
      </c>
      <c r="BQ135" s="294">
        <v>31282</v>
      </c>
      <c r="BR135" s="294">
        <v>36772.39</v>
      </c>
      <c r="BS135" s="294">
        <v>-26631.64</v>
      </c>
      <c r="BT135" s="294">
        <v>10140.75</v>
      </c>
      <c r="BU135" s="294">
        <v>0</v>
      </c>
      <c r="BV135" s="294">
        <v>0</v>
      </c>
      <c r="BW135" s="294">
        <v>0</v>
      </c>
      <c r="BX135" s="294">
        <v>0</v>
      </c>
      <c r="BY135" s="294">
        <v>0</v>
      </c>
      <c r="BZ135" s="294">
        <v>0</v>
      </c>
      <c r="CA135" s="294">
        <v>0</v>
      </c>
      <c r="CB135" s="294">
        <v>0</v>
      </c>
      <c r="CC135" s="294">
        <v>0</v>
      </c>
      <c r="CD135" s="294">
        <v>47207.11</v>
      </c>
      <c r="CE135" s="294">
        <v>0</v>
      </c>
      <c r="CF135" s="294">
        <v>10140.75</v>
      </c>
      <c r="CG135" s="294">
        <v>0</v>
      </c>
      <c r="CH135" s="294">
        <v>0</v>
      </c>
      <c r="CI135" s="294">
        <f t="shared" si="1"/>
        <v>57347.86</v>
      </c>
      <c r="CJ135" s="294">
        <v>0</v>
      </c>
      <c r="CK135" s="294">
        <v>0</v>
      </c>
      <c r="CL135" s="294">
        <v>0</v>
      </c>
      <c r="CM135" s="294">
        <v>0</v>
      </c>
      <c r="CN135" s="294">
        <v>0</v>
      </c>
      <c r="CO135" s="294">
        <v>0</v>
      </c>
      <c r="CP135" s="294">
        <v>0</v>
      </c>
      <c r="CQ135" s="294">
        <v>0</v>
      </c>
      <c r="CR135" s="294">
        <v>0</v>
      </c>
      <c r="CS135" s="294">
        <v>0</v>
      </c>
      <c r="CT135" s="294">
        <v>0</v>
      </c>
      <c r="CU135" s="294">
        <v>0</v>
      </c>
      <c r="CV135" s="294">
        <v>0</v>
      </c>
      <c r="CW135" s="294">
        <v>0</v>
      </c>
      <c r="CX135" s="294"/>
      <c r="CY135" s="294"/>
      <c r="CZ135" s="294"/>
      <c r="DA135" s="294">
        <v>-38045.140000000189</v>
      </c>
      <c r="DB135" s="294">
        <v>-38045.140000000189</v>
      </c>
      <c r="DC135" s="294">
        <v>95372.25</v>
      </c>
      <c r="DD135" s="294">
        <v>20.75</v>
      </c>
      <c r="DE135" s="294">
        <v>0</v>
      </c>
      <c r="DF135" s="294">
        <v>0</v>
      </c>
      <c r="DG135" s="294">
        <v>0</v>
      </c>
      <c r="DH135" s="294">
        <v>0</v>
      </c>
      <c r="DI135" s="294">
        <v>0</v>
      </c>
      <c r="DJ135" s="294">
        <v>0</v>
      </c>
      <c r="DK135" s="294">
        <v>95393</v>
      </c>
      <c r="DL135" s="294">
        <v>0</v>
      </c>
      <c r="DM135" s="294">
        <v>0</v>
      </c>
      <c r="DN135" s="294">
        <v>0</v>
      </c>
      <c r="DO135" s="294">
        <v>0</v>
      </c>
      <c r="DP135" s="294">
        <v>0</v>
      </c>
      <c r="DQ135" s="324">
        <v>1.8917489796876907E-10</v>
      </c>
      <c r="DR135" s="295">
        <v>473684.35</v>
      </c>
      <c r="DS135" s="325">
        <v>148614.67000000004</v>
      </c>
      <c r="DT135" s="295">
        <v>7345.4999999999991</v>
      </c>
      <c r="DU135" s="295">
        <v>104621.7</v>
      </c>
      <c r="DV135" s="295">
        <v>109794.18</v>
      </c>
      <c r="DW135" s="295">
        <v>0</v>
      </c>
    </row>
    <row r="136" spans="1:127">
      <c r="A136" s="321">
        <v>7033</v>
      </c>
      <c r="B136" s="322" t="s">
        <v>368</v>
      </c>
      <c r="C136" s="321">
        <v>7033</v>
      </c>
      <c r="D136" s="323" t="s">
        <v>817</v>
      </c>
      <c r="E136" s="323" t="s">
        <v>541</v>
      </c>
      <c r="F136" s="323" t="s">
        <v>818</v>
      </c>
      <c r="G136" s="323" t="s">
        <v>537</v>
      </c>
      <c r="H136" s="294">
        <v>4665140</v>
      </c>
      <c r="I136" s="294">
        <v>0</v>
      </c>
      <c r="J136" s="294">
        <v>3178114</v>
      </c>
      <c r="K136" s="294">
        <v>0</v>
      </c>
      <c r="L136" s="294">
        <v>190990</v>
      </c>
      <c r="M136" s="294">
        <v>5114</v>
      </c>
      <c r="N136" s="294">
        <v>0</v>
      </c>
      <c r="O136" s="294">
        <v>0</v>
      </c>
      <c r="P136" s="294">
        <v>0</v>
      </c>
      <c r="Q136" s="294">
        <v>0</v>
      </c>
      <c r="R136" s="294">
        <v>0</v>
      </c>
      <c r="S136" s="294">
        <v>0</v>
      </c>
      <c r="T136" s="294">
        <v>0</v>
      </c>
      <c r="U136" s="294">
        <v>0</v>
      </c>
      <c r="V136" s="294">
        <v>0</v>
      </c>
      <c r="W136" s="294">
        <v>35152</v>
      </c>
      <c r="X136" s="294">
        <v>0</v>
      </c>
      <c r="Y136" s="294">
        <v>8074510</v>
      </c>
      <c r="Z136" s="294">
        <v>6277525</v>
      </c>
      <c r="AA136" s="294">
        <v>20891</v>
      </c>
      <c r="AB136" s="294">
        <v>221569</v>
      </c>
      <c r="AC136" s="294">
        <v>63923</v>
      </c>
      <c r="AD136" s="294">
        <v>208003</v>
      </c>
      <c r="AE136" s="294">
        <v>58629</v>
      </c>
      <c r="AF136" s="294">
        <v>3929</v>
      </c>
      <c r="AG136" s="294">
        <v>6553</v>
      </c>
      <c r="AH136" s="294">
        <v>0</v>
      </c>
      <c r="AI136" s="294">
        <v>0</v>
      </c>
      <c r="AJ136" s="294">
        <v>0</v>
      </c>
      <c r="AK136" s="294">
        <v>180632</v>
      </c>
      <c r="AL136" s="294">
        <v>1048</v>
      </c>
      <c r="AM136" s="294">
        <v>94655</v>
      </c>
      <c r="AN136" s="294">
        <v>136</v>
      </c>
      <c r="AO136" s="294">
        <v>142843</v>
      </c>
      <c r="AP136" s="294">
        <v>0</v>
      </c>
      <c r="AQ136" s="294">
        <v>7997</v>
      </c>
      <c r="AR136" s="294">
        <v>147647</v>
      </c>
      <c r="AS136" s="294">
        <v>14196</v>
      </c>
      <c r="AT136" s="294">
        <v>28827</v>
      </c>
      <c r="AU136" s="294">
        <v>149230</v>
      </c>
      <c r="AV136" s="294">
        <v>14611</v>
      </c>
      <c r="AW136" s="294">
        <v>0</v>
      </c>
      <c r="AX136" s="294">
        <v>100304</v>
      </c>
      <c r="AY136" s="294">
        <v>365881</v>
      </c>
      <c r="AZ136" s="294">
        <v>0</v>
      </c>
      <c r="BA136" s="294">
        <v>239479</v>
      </c>
      <c r="BB136" s="294">
        <v>0</v>
      </c>
      <c r="BC136" s="294">
        <v>0</v>
      </c>
      <c r="BD136" s="294">
        <v>0</v>
      </c>
      <c r="BE136" s="294">
        <v>8348507</v>
      </c>
      <c r="BF136" s="294">
        <v>429976</v>
      </c>
      <c r="BG136" s="294">
        <v>-273997</v>
      </c>
      <c r="BH136" s="294">
        <v>155979</v>
      </c>
      <c r="BI136" s="294">
        <v>23592</v>
      </c>
      <c r="BJ136" s="294">
        <v>0</v>
      </c>
      <c r="BK136" s="294">
        <v>0</v>
      </c>
      <c r="BL136" s="294">
        <v>23592</v>
      </c>
      <c r="BM136" s="294">
        <v>0</v>
      </c>
      <c r="BN136" s="294">
        <v>0</v>
      </c>
      <c r="BO136" s="294">
        <v>0</v>
      </c>
      <c r="BP136" s="294">
        <v>0</v>
      </c>
      <c r="BQ136" s="294">
        <v>0</v>
      </c>
      <c r="BR136" s="294">
        <v>76859</v>
      </c>
      <c r="BS136" s="294">
        <v>23592</v>
      </c>
      <c r="BT136" s="294">
        <v>100451</v>
      </c>
      <c r="BU136" s="294">
        <v>0</v>
      </c>
      <c r="BV136" s="294">
        <v>0</v>
      </c>
      <c r="BW136" s="294">
        <v>0</v>
      </c>
      <c r="BX136" s="294">
        <v>0</v>
      </c>
      <c r="BY136" s="294">
        <v>0</v>
      </c>
      <c r="BZ136" s="294">
        <v>0</v>
      </c>
      <c r="CA136" s="294">
        <v>0</v>
      </c>
      <c r="CB136" s="294">
        <v>0</v>
      </c>
      <c r="CC136" s="294">
        <v>0</v>
      </c>
      <c r="CD136" s="294">
        <v>155979</v>
      </c>
      <c r="CE136" s="294">
        <v>0</v>
      </c>
      <c r="CF136" s="294">
        <v>100451</v>
      </c>
      <c r="CG136" s="294">
        <v>0</v>
      </c>
      <c r="CH136" s="294">
        <v>0</v>
      </c>
      <c r="CI136" s="294">
        <f t="shared" si="1"/>
        <v>256430</v>
      </c>
      <c r="CJ136" s="294">
        <v>227151</v>
      </c>
      <c r="CK136" s="294">
        <v>0</v>
      </c>
      <c r="CL136" s="294">
        <v>0</v>
      </c>
      <c r="CM136" s="294">
        <v>227151</v>
      </c>
      <c r="CN136" s="294">
        <v>0</v>
      </c>
      <c r="CO136" s="294">
        <v>0</v>
      </c>
      <c r="CP136" s="294">
        <v>0</v>
      </c>
      <c r="CQ136" s="294">
        <v>29548</v>
      </c>
      <c r="CR136" s="294">
        <v>0</v>
      </c>
      <c r="CS136" s="294">
        <v>256699</v>
      </c>
      <c r="CT136" s="294">
        <v>0</v>
      </c>
      <c r="CU136" s="294">
        <v>0</v>
      </c>
      <c r="CV136" s="294">
        <v>0</v>
      </c>
      <c r="CW136" s="294">
        <v>0</v>
      </c>
      <c r="CX136" s="294"/>
      <c r="CY136" s="294"/>
      <c r="CZ136" s="294"/>
      <c r="DA136" s="294">
        <v>0</v>
      </c>
      <c r="DB136" s="294">
        <v>0</v>
      </c>
      <c r="DC136" s="294">
        <v>0</v>
      </c>
      <c r="DD136" s="294">
        <v>0</v>
      </c>
      <c r="DE136" s="294">
        <v>0</v>
      </c>
      <c r="DF136" s="294">
        <v>0</v>
      </c>
      <c r="DG136" s="294">
        <v>0</v>
      </c>
      <c r="DH136" s="294">
        <v>-270</v>
      </c>
      <c r="DI136" s="294">
        <v>0</v>
      </c>
      <c r="DJ136" s="294">
        <v>0</v>
      </c>
      <c r="DK136" s="294">
        <v>-270</v>
      </c>
      <c r="DL136" s="294">
        <v>0</v>
      </c>
      <c r="DM136" s="294">
        <v>0</v>
      </c>
      <c r="DN136" s="294">
        <v>0</v>
      </c>
      <c r="DO136" s="294">
        <v>0</v>
      </c>
      <c r="DP136" s="294">
        <v>0</v>
      </c>
      <c r="DQ136" s="324">
        <v>0</v>
      </c>
      <c r="DR136" s="295">
        <v>6861022</v>
      </c>
      <c r="DS136" s="325">
        <v>1487485</v>
      </c>
      <c r="DT136" s="295">
        <v>365881</v>
      </c>
      <c r="DU136" s="295">
        <v>0</v>
      </c>
      <c r="DV136" s="295">
        <v>0</v>
      </c>
      <c r="DW136" s="295">
        <v>0</v>
      </c>
    </row>
    <row r="137" spans="1:127">
      <c r="A137" s="321">
        <v>4177</v>
      </c>
      <c r="B137" s="322" t="s">
        <v>369</v>
      </c>
      <c r="C137" s="321">
        <v>4177</v>
      </c>
      <c r="D137" s="323" t="s">
        <v>817</v>
      </c>
      <c r="E137" s="323" t="s">
        <v>543</v>
      </c>
      <c r="F137" s="323" t="s">
        <v>818</v>
      </c>
      <c r="G137" s="323" t="s">
        <v>537</v>
      </c>
      <c r="H137" s="294">
        <v>6583713</v>
      </c>
      <c r="I137" s="294">
        <v>0</v>
      </c>
      <c r="J137" s="294">
        <v>36642</v>
      </c>
      <c r="K137" s="294">
        <v>0</v>
      </c>
      <c r="L137" s="294">
        <v>446250</v>
      </c>
      <c r="M137" s="294">
        <v>0</v>
      </c>
      <c r="N137" s="294">
        <v>49881</v>
      </c>
      <c r="O137" s="294">
        <v>0</v>
      </c>
      <c r="P137" s="294">
        <v>120512</v>
      </c>
      <c r="Q137" s="294">
        <v>0</v>
      </c>
      <c r="R137" s="294">
        <v>0</v>
      </c>
      <c r="S137" s="294">
        <v>0</v>
      </c>
      <c r="T137" s="294">
        <v>42086</v>
      </c>
      <c r="U137" s="294">
        <v>0</v>
      </c>
      <c r="V137" s="294">
        <v>0</v>
      </c>
      <c r="W137" s="294">
        <v>26229</v>
      </c>
      <c r="X137" s="294">
        <v>0</v>
      </c>
      <c r="Y137" s="294">
        <v>7305313</v>
      </c>
      <c r="Z137" s="294">
        <v>4341985</v>
      </c>
      <c r="AA137" s="294">
        <v>0</v>
      </c>
      <c r="AB137" s="294">
        <v>390237</v>
      </c>
      <c r="AC137" s="294">
        <v>101399</v>
      </c>
      <c r="AD137" s="294">
        <v>626898</v>
      </c>
      <c r="AE137" s="294">
        <v>0</v>
      </c>
      <c r="AF137" s="294">
        <v>18521</v>
      </c>
      <c r="AG137" s="294">
        <v>53955</v>
      </c>
      <c r="AH137" s="294">
        <v>44547</v>
      </c>
      <c r="AI137" s="294">
        <v>0</v>
      </c>
      <c r="AJ137" s="294">
        <v>0</v>
      </c>
      <c r="AK137" s="294">
        <v>141311</v>
      </c>
      <c r="AL137" s="294">
        <v>320</v>
      </c>
      <c r="AM137" s="294">
        <v>136154</v>
      </c>
      <c r="AN137" s="294">
        <v>30555</v>
      </c>
      <c r="AO137" s="294">
        <v>185434</v>
      </c>
      <c r="AP137" s="294">
        <v>111495</v>
      </c>
      <c r="AQ137" s="294">
        <v>16092</v>
      </c>
      <c r="AR137" s="294">
        <v>134396</v>
      </c>
      <c r="AS137" s="294">
        <v>169482</v>
      </c>
      <c r="AT137" s="294">
        <v>41686</v>
      </c>
      <c r="AU137" s="294">
        <v>99778</v>
      </c>
      <c r="AV137" s="294">
        <v>24313</v>
      </c>
      <c r="AW137" s="294">
        <v>22158</v>
      </c>
      <c r="AX137" s="294">
        <v>175399</v>
      </c>
      <c r="AY137" s="294">
        <v>96301</v>
      </c>
      <c r="AZ137" s="294">
        <v>85816</v>
      </c>
      <c r="BA137" s="294">
        <v>362516</v>
      </c>
      <c r="BB137" s="294">
        <v>0</v>
      </c>
      <c r="BC137" s="294">
        <v>0</v>
      </c>
      <c r="BD137" s="294">
        <v>0</v>
      </c>
      <c r="BE137" s="294">
        <v>7410748</v>
      </c>
      <c r="BF137" s="294">
        <v>562701</v>
      </c>
      <c r="BG137" s="294">
        <v>-105435</v>
      </c>
      <c r="BH137" s="294">
        <v>457266</v>
      </c>
      <c r="BI137" s="294">
        <v>17357</v>
      </c>
      <c r="BJ137" s="294">
        <v>0</v>
      </c>
      <c r="BK137" s="294">
        <v>0</v>
      </c>
      <c r="BL137" s="294">
        <v>17357</v>
      </c>
      <c r="BM137" s="294">
        <v>48550</v>
      </c>
      <c r="BN137" s="294">
        <v>0</v>
      </c>
      <c r="BO137" s="294">
        <v>0</v>
      </c>
      <c r="BP137" s="294">
        <v>0</v>
      </c>
      <c r="BQ137" s="294">
        <v>48550</v>
      </c>
      <c r="BR137" s="294">
        <v>64914</v>
      </c>
      <c r="BS137" s="294">
        <v>-31194</v>
      </c>
      <c r="BT137" s="294">
        <v>33720</v>
      </c>
      <c r="BU137" s="294">
        <v>0</v>
      </c>
      <c r="BV137" s="294">
        <v>0</v>
      </c>
      <c r="BW137" s="294">
        <v>0</v>
      </c>
      <c r="BX137" s="294">
        <v>0</v>
      </c>
      <c r="BY137" s="294">
        <v>0</v>
      </c>
      <c r="BZ137" s="294">
        <v>0</v>
      </c>
      <c r="CA137" s="294">
        <v>0</v>
      </c>
      <c r="CB137" s="294">
        <v>0</v>
      </c>
      <c r="CC137" s="294">
        <v>0</v>
      </c>
      <c r="CD137" s="294">
        <v>457266</v>
      </c>
      <c r="CE137" s="294">
        <v>0</v>
      </c>
      <c r="CF137" s="294">
        <v>33720</v>
      </c>
      <c r="CG137" s="294">
        <v>0</v>
      </c>
      <c r="CH137" s="294">
        <v>0</v>
      </c>
      <c r="CI137" s="294">
        <f t="shared" si="1"/>
        <v>490986</v>
      </c>
      <c r="CJ137" s="294">
        <v>1124621</v>
      </c>
      <c r="CK137" s="294">
        <v>100179</v>
      </c>
      <c r="CL137" s="294">
        <v>57671</v>
      </c>
      <c r="CM137" s="294">
        <v>1082114</v>
      </c>
      <c r="CN137" s="294">
        <v>0</v>
      </c>
      <c r="CO137" s="294">
        <v>0</v>
      </c>
      <c r="CP137" s="294">
        <v>37031</v>
      </c>
      <c r="CQ137" s="294">
        <v>0</v>
      </c>
      <c r="CR137" s="294">
        <v>0</v>
      </c>
      <c r="CS137" s="294">
        <v>1119144</v>
      </c>
      <c r="CT137" s="294">
        <v>1334</v>
      </c>
      <c r="CU137" s="294">
        <v>0</v>
      </c>
      <c r="CV137" s="294">
        <v>0</v>
      </c>
      <c r="CW137" s="294">
        <v>1334</v>
      </c>
      <c r="CX137" s="294"/>
      <c r="CY137" s="294"/>
      <c r="CZ137" s="294"/>
      <c r="DA137" s="294">
        <v>0</v>
      </c>
      <c r="DB137" s="294">
        <v>1334</v>
      </c>
      <c r="DC137" s="294">
        <v>0</v>
      </c>
      <c r="DD137" s="294">
        <v>0</v>
      </c>
      <c r="DE137" s="294">
        <v>35660</v>
      </c>
      <c r="DF137" s="294">
        <v>0</v>
      </c>
      <c r="DG137" s="294">
        <v>-36617</v>
      </c>
      <c r="DH137" s="294">
        <v>0</v>
      </c>
      <c r="DI137" s="294">
        <v>0</v>
      </c>
      <c r="DJ137" s="294">
        <v>0</v>
      </c>
      <c r="DK137" s="294">
        <v>-957</v>
      </c>
      <c r="DL137" s="294">
        <v>0</v>
      </c>
      <c r="DM137" s="294">
        <v>0</v>
      </c>
      <c r="DN137" s="294">
        <v>-139342</v>
      </c>
      <c r="DO137" s="294">
        <v>-13509</v>
      </c>
      <c r="DP137" s="294">
        <v>-475684</v>
      </c>
      <c r="DQ137" s="324">
        <v>0.11</v>
      </c>
      <c r="DR137" s="295">
        <v>5532995</v>
      </c>
      <c r="DS137" s="325">
        <v>1877753</v>
      </c>
      <c r="DT137" s="295">
        <v>96301</v>
      </c>
      <c r="DU137" s="295">
        <v>162598</v>
      </c>
      <c r="DV137" s="295">
        <v>0</v>
      </c>
      <c r="DW137" s="295">
        <v>-628535</v>
      </c>
    </row>
    <row r="138" spans="1:127">
      <c r="A138" s="321">
        <v>2169</v>
      </c>
      <c r="B138" s="322" t="s">
        <v>453</v>
      </c>
      <c r="C138" s="321">
        <v>2169</v>
      </c>
      <c r="D138" s="323" t="s">
        <v>817</v>
      </c>
      <c r="E138" s="323" t="s">
        <v>539</v>
      </c>
      <c r="F138" s="323" t="s">
        <v>818</v>
      </c>
      <c r="G138" s="323" t="s">
        <v>537</v>
      </c>
      <c r="H138" s="294">
        <v>2527444.3199999998</v>
      </c>
      <c r="I138" s="294">
        <v>0</v>
      </c>
      <c r="J138" s="294">
        <v>23505.41</v>
      </c>
      <c r="K138" s="294">
        <v>0</v>
      </c>
      <c r="L138" s="294">
        <v>343360</v>
      </c>
      <c r="M138" s="294">
        <v>856.93</v>
      </c>
      <c r="N138" s="294">
        <v>0</v>
      </c>
      <c r="O138" s="294">
        <v>0</v>
      </c>
      <c r="P138" s="294">
        <v>39715.410000000003</v>
      </c>
      <c r="Q138" s="294">
        <v>0</v>
      </c>
      <c r="R138" s="294">
        <v>0</v>
      </c>
      <c r="S138" s="294">
        <v>0</v>
      </c>
      <c r="T138" s="294">
        <v>22784.97</v>
      </c>
      <c r="U138" s="294">
        <v>0</v>
      </c>
      <c r="V138" s="294">
        <v>0</v>
      </c>
      <c r="W138" s="294">
        <v>5376.88</v>
      </c>
      <c r="X138" s="294">
        <v>42132</v>
      </c>
      <c r="Y138" s="294">
        <v>3005175.9200000004</v>
      </c>
      <c r="Z138" s="294">
        <v>1360602.5799999952</v>
      </c>
      <c r="AA138" s="294">
        <v>1.1102230246251565E-15</v>
      </c>
      <c r="AB138" s="294">
        <v>536306.30999999994</v>
      </c>
      <c r="AC138" s="294">
        <v>38574.360000000452</v>
      </c>
      <c r="AD138" s="294">
        <v>154964.97999999998</v>
      </c>
      <c r="AE138" s="294">
        <v>0</v>
      </c>
      <c r="AF138" s="294">
        <v>60810.189999999711</v>
      </c>
      <c r="AG138" s="294">
        <v>18682.259999999806</v>
      </c>
      <c r="AH138" s="294">
        <v>0</v>
      </c>
      <c r="AI138" s="294">
        <v>0</v>
      </c>
      <c r="AJ138" s="294">
        <v>0</v>
      </c>
      <c r="AK138" s="294">
        <v>69894.880000000005</v>
      </c>
      <c r="AL138" s="294">
        <v>1050</v>
      </c>
      <c r="AM138" s="294">
        <v>57002.049999999996</v>
      </c>
      <c r="AN138" s="294">
        <v>10583.66</v>
      </c>
      <c r="AO138" s="294">
        <v>44846.459999999992</v>
      </c>
      <c r="AP138" s="294">
        <v>29679.82</v>
      </c>
      <c r="AQ138" s="294">
        <v>8347.0400000000009</v>
      </c>
      <c r="AR138" s="294">
        <v>145175.25999999998</v>
      </c>
      <c r="AS138" s="294">
        <v>28110.79</v>
      </c>
      <c r="AT138" s="294">
        <v>0</v>
      </c>
      <c r="AU138" s="294">
        <v>20576.959999999995</v>
      </c>
      <c r="AV138" s="294">
        <v>9919.75</v>
      </c>
      <c r="AW138" s="294">
        <v>4715</v>
      </c>
      <c r="AX138" s="294">
        <v>136079.24</v>
      </c>
      <c r="AY138" s="294">
        <v>32099.330000000009</v>
      </c>
      <c r="AZ138" s="294">
        <v>0</v>
      </c>
      <c r="BA138" s="294">
        <v>116642.36</v>
      </c>
      <c r="BB138" s="294">
        <v>0</v>
      </c>
      <c r="BC138" s="294">
        <v>0</v>
      </c>
      <c r="BD138" s="294">
        <v>0</v>
      </c>
      <c r="BE138" s="294">
        <v>2884663.2799999942</v>
      </c>
      <c r="BF138" s="294">
        <v>486355.18999999994</v>
      </c>
      <c r="BG138" s="294">
        <v>120512.64000000618</v>
      </c>
      <c r="BH138" s="294">
        <v>606867.83000000613</v>
      </c>
      <c r="BI138" s="294">
        <v>26204</v>
      </c>
      <c r="BJ138" s="294">
        <v>0</v>
      </c>
      <c r="BK138" s="294">
        <v>0</v>
      </c>
      <c r="BL138" s="294">
        <v>26204</v>
      </c>
      <c r="BM138" s="294">
        <v>0</v>
      </c>
      <c r="BN138" s="294">
        <v>9068.18</v>
      </c>
      <c r="BO138" s="294">
        <v>0</v>
      </c>
      <c r="BP138" s="294">
        <v>0</v>
      </c>
      <c r="BQ138" s="294">
        <v>9068.18</v>
      </c>
      <c r="BR138" s="294">
        <v>23058.17</v>
      </c>
      <c r="BS138" s="294">
        <v>17135.82</v>
      </c>
      <c r="BT138" s="294">
        <v>40193.99</v>
      </c>
      <c r="BU138" s="294">
        <v>0</v>
      </c>
      <c r="BV138" s="294">
        <v>0</v>
      </c>
      <c r="BW138" s="294">
        <v>0</v>
      </c>
      <c r="BX138" s="294">
        <v>0</v>
      </c>
      <c r="BY138" s="294">
        <v>0</v>
      </c>
      <c r="BZ138" s="294">
        <v>0</v>
      </c>
      <c r="CA138" s="294">
        <v>0</v>
      </c>
      <c r="CB138" s="294">
        <v>0</v>
      </c>
      <c r="CC138" s="294">
        <v>0</v>
      </c>
      <c r="CD138" s="294">
        <v>606867.83000000613</v>
      </c>
      <c r="CE138" s="294">
        <v>0</v>
      </c>
      <c r="CF138" s="294">
        <v>40193.99</v>
      </c>
      <c r="CG138" s="294">
        <v>0</v>
      </c>
      <c r="CH138" s="294">
        <v>0</v>
      </c>
      <c r="CI138" s="294">
        <f t="shared" ref="CI138:CI201" si="2">SUM(CD138:CF138)</f>
        <v>647061.82000000612</v>
      </c>
      <c r="CJ138" s="294">
        <v>890573.22</v>
      </c>
      <c r="CK138" s="294">
        <v>0</v>
      </c>
      <c r="CL138" s="294">
        <v>0</v>
      </c>
      <c r="CM138" s="294">
        <v>890573.22</v>
      </c>
      <c r="CN138" s="294">
        <v>0</v>
      </c>
      <c r="CO138" s="294">
        <v>0</v>
      </c>
      <c r="CP138" s="294">
        <v>3988</v>
      </c>
      <c r="CQ138" s="294">
        <v>0</v>
      </c>
      <c r="CR138" s="294">
        <v>-193422.54</v>
      </c>
      <c r="CS138" s="294">
        <v>701138.67999999993</v>
      </c>
      <c r="CT138" s="294">
        <v>0</v>
      </c>
      <c r="CU138" s="294">
        <v>0</v>
      </c>
      <c r="CV138" s="294">
        <v>0</v>
      </c>
      <c r="CW138" s="294">
        <v>0</v>
      </c>
      <c r="CX138" s="294"/>
      <c r="CY138" s="294"/>
      <c r="CZ138" s="294"/>
      <c r="DA138" s="294">
        <v>0</v>
      </c>
      <c r="DB138" s="294">
        <v>0</v>
      </c>
      <c r="DC138" s="294">
        <v>0</v>
      </c>
      <c r="DD138" s="294">
        <v>14593.58</v>
      </c>
      <c r="DE138" s="294">
        <v>0</v>
      </c>
      <c r="DF138" s="294">
        <v>0</v>
      </c>
      <c r="DG138" s="294">
        <v>-22574.880000000001</v>
      </c>
      <c r="DH138" s="294">
        <v>-46095.79</v>
      </c>
      <c r="DI138" s="294">
        <v>0</v>
      </c>
      <c r="DJ138" s="294">
        <v>0</v>
      </c>
      <c r="DK138" s="294">
        <v>-54077.090000000004</v>
      </c>
      <c r="DL138" s="294">
        <v>0</v>
      </c>
      <c r="DM138" s="294">
        <v>0</v>
      </c>
      <c r="DN138" s="294">
        <v>0</v>
      </c>
      <c r="DO138" s="294">
        <v>0</v>
      </c>
      <c r="DP138" s="294">
        <v>0</v>
      </c>
      <c r="DQ138" s="324">
        <v>0.23000000009778887</v>
      </c>
      <c r="DR138" s="295">
        <v>2169940.679999995</v>
      </c>
      <c r="DS138" s="325">
        <v>714722.59999999916</v>
      </c>
      <c r="DT138" s="295">
        <v>32099.330000000009</v>
      </c>
      <c r="DU138" s="295">
        <v>62500.380000000005</v>
      </c>
      <c r="DV138" s="295">
        <v>0</v>
      </c>
      <c r="DW138" s="295">
        <v>0</v>
      </c>
    </row>
    <row r="139" spans="1:127">
      <c r="A139" s="321">
        <v>2008</v>
      </c>
      <c r="B139" s="322" t="s">
        <v>507</v>
      </c>
      <c r="C139" s="321">
        <v>2008</v>
      </c>
      <c r="D139" s="323" t="s">
        <v>817</v>
      </c>
      <c r="E139" s="323" t="s">
        <v>539</v>
      </c>
      <c r="F139" s="323" t="s">
        <v>818</v>
      </c>
      <c r="G139" s="323" t="s">
        <v>537</v>
      </c>
      <c r="H139" s="294">
        <v>2680543.63</v>
      </c>
      <c r="I139" s="294">
        <v>0</v>
      </c>
      <c r="J139" s="294">
        <v>76098.179999999993</v>
      </c>
      <c r="K139" s="294">
        <v>0</v>
      </c>
      <c r="L139" s="294">
        <v>284480</v>
      </c>
      <c r="M139" s="294">
        <v>4113.8599999999997</v>
      </c>
      <c r="N139" s="294">
        <v>0</v>
      </c>
      <c r="O139" s="294">
        <v>0</v>
      </c>
      <c r="P139" s="294">
        <v>41380.209999999934</v>
      </c>
      <c r="Q139" s="294">
        <v>48343.640000000007</v>
      </c>
      <c r="R139" s="294">
        <v>0</v>
      </c>
      <c r="S139" s="294">
        <v>0</v>
      </c>
      <c r="T139" s="294">
        <v>1088.2</v>
      </c>
      <c r="U139" s="294">
        <v>0</v>
      </c>
      <c r="V139" s="294">
        <v>0</v>
      </c>
      <c r="W139" s="294">
        <v>15994.58</v>
      </c>
      <c r="X139" s="294">
        <v>68622</v>
      </c>
      <c r="Y139" s="294">
        <v>3220664.3000000003</v>
      </c>
      <c r="Z139" s="294">
        <v>1091618.52</v>
      </c>
      <c r="AA139" s="294">
        <v>-1417.21</v>
      </c>
      <c r="AB139" s="294">
        <v>14809.700000000008</v>
      </c>
      <c r="AC139" s="294">
        <v>433641.74999999977</v>
      </c>
      <c r="AD139" s="294">
        <v>4293.0700000000006</v>
      </c>
      <c r="AE139" s="294">
        <v>0</v>
      </c>
      <c r="AF139" s="294">
        <v>455802.46999999916</v>
      </c>
      <c r="AG139" s="294">
        <v>23566.570000000022</v>
      </c>
      <c r="AH139" s="294">
        <v>2374</v>
      </c>
      <c r="AI139" s="294">
        <v>0</v>
      </c>
      <c r="AJ139" s="294">
        <v>0</v>
      </c>
      <c r="AK139" s="294">
        <v>20707.62</v>
      </c>
      <c r="AL139" s="294">
        <v>0</v>
      </c>
      <c r="AM139" s="294">
        <v>8262.11</v>
      </c>
      <c r="AN139" s="294">
        <v>10299.540000000001</v>
      </c>
      <c r="AO139" s="294">
        <v>32355.170000000002</v>
      </c>
      <c r="AP139" s="294">
        <v>28884.83</v>
      </c>
      <c r="AQ139" s="294">
        <v>22212.38</v>
      </c>
      <c r="AR139" s="294">
        <v>325980.0900000002</v>
      </c>
      <c r="AS139" s="294">
        <v>444.3</v>
      </c>
      <c r="AT139" s="294">
        <v>0</v>
      </c>
      <c r="AU139" s="294">
        <v>17105.829999999987</v>
      </c>
      <c r="AV139" s="294">
        <v>9471</v>
      </c>
      <c r="AW139" s="294">
        <v>0</v>
      </c>
      <c r="AX139" s="294">
        <v>248375.63</v>
      </c>
      <c r="AY139" s="294">
        <v>329701.89</v>
      </c>
      <c r="AZ139" s="294">
        <v>10629.68</v>
      </c>
      <c r="BA139" s="294">
        <v>120129.14</v>
      </c>
      <c r="BB139" s="294">
        <v>0</v>
      </c>
      <c r="BC139" s="294">
        <v>0</v>
      </c>
      <c r="BD139" s="294">
        <v>0</v>
      </c>
      <c r="BE139" s="294">
        <v>3209248.0799999996</v>
      </c>
      <c r="BF139" s="294">
        <v>234792.61999999982</v>
      </c>
      <c r="BG139" s="294">
        <v>11416.220000000671</v>
      </c>
      <c r="BH139" s="294">
        <v>246208.84000000049</v>
      </c>
      <c r="BI139" s="294">
        <v>9121</v>
      </c>
      <c r="BJ139" s="294">
        <v>0</v>
      </c>
      <c r="BK139" s="294">
        <v>0</v>
      </c>
      <c r="BL139" s="294">
        <v>9121</v>
      </c>
      <c r="BM139" s="294">
        <v>0</v>
      </c>
      <c r="BN139" s="294">
        <v>0</v>
      </c>
      <c r="BO139" s="294">
        <v>0</v>
      </c>
      <c r="BP139" s="294">
        <v>0</v>
      </c>
      <c r="BQ139" s="294">
        <v>0</v>
      </c>
      <c r="BR139" s="294">
        <v>8645.43</v>
      </c>
      <c r="BS139" s="294">
        <v>9121</v>
      </c>
      <c r="BT139" s="294">
        <v>17766.43</v>
      </c>
      <c r="BU139" s="294">
        <v>0</v>
      </c>
      <c r="BV139" s="294">
        <v>0</v>
      </c>
      <c r="BW139" s="294">
        <v>0</v>
      </c>
      <c r="BX139" s="294">
        <v>0</v>
      </c>
      <c r="BY139" s="294">
        <v>0</v>
      </c>
      <c r="BZ139" s="294">
        <v>0</v>
      </c>
      <c r="CA139" s="294">
        <v>0</v>
      </c>
      <c r="CB139" s="294">
        <v>0</v>
      </c>
      <c r="CC139" s="294">
        <v>0</v>
      </c>
      <c r="CD139" s="294">
        <v>246208.84000000049</v>
      </c>
      <c r="CE139" s="294">
        <v>0</v>
      </c>
      <c r="CF139" s="294">
        <v>17766.43</v>
      </c>
      <c r="CG139" s="294">
        <v>0</v>
      </c>
      <c r="CH139" s="294">
        <v>0</v>
      </c>
      <c r="CI139" s="294">
        <f t="shared" si="2"/>
        <v>263975.27000000048</v>
      </c>
      <c r="CJ139" s="294">
        <v>542437.26</v>
      </c>
      <c r="CK139" s="294">
        <v>0</v>
      </c>
      <c r="CL139" s="294">
        <v>0</v>
      </c>
      <c r="CM139" s="294">
        <v>542437.26</v>
      </c>
      <c r="CN139" s="294">
        <v>0</v>
      </c>
      <c r="CO139" s="294">
        <v>0</v>
      </c>
      <c r="CP139" s="294">
        <v>35866.46</v>
      </c>
      <c r="CQ139" s="294">
        <v>0</v>
      </c>
      <c r="CR139" s="294">
        <v>-270795.51</v>
      </c>
      <c r="CS139" s="294">
        <v>307508.20999999996</v>
      </c>
      <c r="CT139" s="294">
        <v>0</v>
      </c>
      <c r="CU139" s="294">
        <v>0</v>
      </c>
      <c r="CV139" s="294">
        <v>0</v>
      </c>
      <c r="CW139" s="294">
        <v>0</v>
      </c>
      <c r="CX139" s="294"/>
      <c r="CY139" s="294"/>
      <c r="CZ139" s="294"/>
      <c r="DA139" s="294">
        <v>0</v>
      </c>
      <c r="DB139" s="294">
        <v>0</v>
      </c>
      <c r="DC139" s="294">
        <v>0</v>
      </c>
      <c r="DD139" s="294">
        <v>8172.28</v>
      </c>
      <c r="DE139" s="294">
        <v>0</v>
      </c>
      <c r="DF139" s="294">
        <v>0</v>
      </c>
      <c r="DG139" s="294">
        <v>0</v>
      </c>
      <c r="DH139" s="294">
        <v>-51705.2</v>
      </c>
      <c r="DI139" s="294">
        <v>0</v>
      </c>
      <c r="DJ139" s="294">
        <v>0</v>
      </c>
      <c r="DK139" s="294">
        <v>-43532.92</v>
      </c>
      <c r="DL139" s="294">
        <v>0</v>
      </c>
      <c r="DM139" s="294">
        <v>0</v>
      </c>
      <c r="DN139" s="294">
        <v>0</v>
      </c>
      <c r="DO139" s="294">
        <v>0</v>
      </c>
      <c r="DP139" s="294">
        <v>0</v>
      </c>
      <c r="DQ139" s="324">
        <v>-2.0000000018626451E-2</v>
      </c>
      <c r="DR139" s="295">
        <v>2022314.8699999989</v>
      </c>
      <c r="DS139" s="325">
        <v>1186933.2100000007</v>
      </c>
      <c r="DT139" s="295">
        <v>329701.89</v>
      </c>
      <c r="DU139" s="295">
        <v>90812.049999999945</v>
      </c>
      <c r="DV139" s="295">
        <v>0</v>
      </c>
      <c r="DW139" s="295">
        <v>0</v>
      </c>
    </row>
    <row r="140" spans="1:127">
      <c r="A140" s="321">
        <v>1038</v>
      </c>
      <c r="B140" s="322" t="s">
        <v>370</v>
      </c>
      <c r="C140" s="321">
        <v>1038</v>
      </c>
      <c r="D140" s="323" t="s">
        <v>817</v>
      </c>
      <c r="E140" s="323" t="s">
        <v>536</v>
      </c>
      <c r="F140" s="323" t="s">
        <v>818</v>
      </c>
      <c r="G140" s="323" t="s">
        <v>537</v>
      </c>
      <c r="H140" s="294">
        <v>1098848.98</v>
      </c>
      <c r="I140" s="294">
        <v>0</v>
      </c>
      <c r="J140" s="294">
        <v>91077.14</v>
      </c>
      <c r="K140" s="294">
        <v>0</v>
      </c>
      <c r="L140" s="294">
        <v>0</v>
      </c>
      <c r="M140" s="294">
        <v>2685.64</v>
      </c>
      <c r="N140" s="294">
        <v>0</v>
      </c>
      <c r="O140" s="294">
        <v>0</v>
      </c>
      <c r="P140" s="294">
        <v>296695.52999999997</v>
      </c>
      <c r="Q140" s="294">
        <v>16458.060000000001</v>
      </c>
      <c r="R140" s="294">
        <v>0</v>
      </c>
      <c r="S140" s="294">
        <v>0</v>
      </c>
      <c r="T140" s="294">
        <v>168.5</v>
      </c>
      <c r="U140" s="294">
        <v>0</v>
      </c>
      <c r="V140" s="294">
        <v>0</v>
      </c>
      <c r="W140" s="294">
        <v>0</v>
      </c>
      <c r="X140" s="294">
        <v>0</v>
      </c>
      <c r="Y140" s="294">
        <v>1505933.8499999999</v>
      </c>
      <c r="Z140" s="294">
        <v>290807.96000000002</v>
      </c>
      <c r="AA140" s="294">
        <v>0</v>
      </c>
      <c r="AB140" s="294">
        <v>504398.20400000003</v>
      </c>
      <c r="AC140" s="294">
        <v>39445.1</v>
      </c>
      <c r="AD140" s="294">
        <v>65400.83</v>
      </c>
      <c r="AE140" s="294">
        <v>0</v>
      </c>
      <c r="AF140" s="294">
        <v>114025.8</v>
      </c>
      <c r="AG140" s="294">
        <v>5118.7</v>
      </c>
      <c r="AH140" s="294">
        <v>5101.5</v>
      </c>
      <c r="AI140" s="294">
        <v>0</v>
      </c>
      <c r="AJ140" s="294">
        <v>0</v>
      </c>
      <c r="AK140" s="294">
        <v>8160.35</v>
      </c>
      <c r="AL140" s="294">
        <v>261.66000000000003</v>
      </c>
      <c r="AM140" s="294">
        <v>27948.16</v>
      </c>
      <c r="AN140" s="294">
        <v>194.99</v>
      </c>
      <c r="AO140" s="294">
        <v>22259.25</v>
      </c>
      <c r="AP140" s="294">
        <v>0</v>
      </c>
      <c r="AQ140" s="294">
        <v>12232.29</v>
      </c>
      <c r="AR140" s="294">
        <v>39933.599999999999</v>
      </c>
      <c r="AS140" s="294">
        <v>4438.51</v>
      </c>
      <c r="AT140" s="294">
        <v>0</v>
      </c>
      <c r="AU140" s="294">
        <v>6579.64</v>
      </c>
      <c r="AV140" s="294">
        <v>3291.75</v>
      </c>
      <c r="AW140" s="294">
        <v>0</v>
      </c>
      <c r="AX140" s="294">
        <v>37169.270000000004</v>
      </c>
      <c r="AY140" s="294">
        <v>186029.38</v>
      </c>
      <c r="AZ140" s="294">
        <v>0</v>
      </c>
      <c r="BA140" s="294">
        <v>78939.95</v>
      </c>
      <c r="BB140" s="294">
        <v>0</v>
      </c>
      <c r="BC140" s="294">
        <v>0</v>
      </c>
      <c r="BD140" s="294">
        <v>0</v>
      </c>
      <c r="BE140" s="294">
        <v>1451736.8940000001</v>
      </c>
      <c r="BF140" s="294">
        <v>48023.810000000056</v>
      </c>
      <c r="BG140" s="294">
        <v>54196.955999999773</v>
      </c>
      <c r="BH140" s="294">
        <v>102220.76599999983</v>
      </c>
      <c r="BI140" s="294">
        <v>5066.5</v>
      </c>
      <c r="BJ140" s="294">
        <v>0</v>
      </c>
      <c r="BK140" s="294">
        <v>0</v>
      </c>
      <c r="BL140" s="294">
        <v>5066.5</v>
      </c>
      <c r="BM140" s="294">
        <v>0</v>
      </c>
      <c r="BN140" s="294">
        <v>0</v>
      </c>
      <c r="BO140" s="294">
        <v>0</v>
      </c>
      <c r="BP140" s="294">
        <v>0</v>
      </c>
      <c r="BQ140" s="294">
        <v>0</v>
      </c>
      <c r="BR140" s="294">
        <v>15489.910000000003</v>
      </c>
      <c r="BS140" s="294">
        <v>5066.5</v>
      </c>
      <c r="BT140" s="294">
        <v>20556.410000000003</v>
      </c>
      <c r="BU140" s="294">
        <v>0</v>
      </c>
      <c r="BV140" s="294">
        <v>0</v>
      </c>
      <c r="BW140" s="294">
        <v>0</v>
      </c>
      <c r="BX140" s="294">
        <v>0</v>
      </c>
      <c r="BY140" s="294">
        <v>0</v>
      </c>
      <c r="BZ140" s="294">
        <v>0</v>
      </c>
      <c r="CA140" s="294">
        <v>0</v>
      </c>
      <c r="CB140" s="294">
        <v>0</v>
      </c>
      <c r="CC140" s="294">
        <v>0</v>
      </c>
      <c r="CD140" s="294">
        <v>102220.76599999983</v>
      </c>
      <c r="CE140" s="294">
        <v>0</v>
      </c>
      <c r="CF140" s="294">
        <v>20556.410000000003</v>
      </c>
      <c r="CG140" s="294">
        <v>0</v>
      </c>
      <c r="CH140" s="294">
        <v>0</v>
      </c>
      <c r="CI140" s="294">
        <f t="shared" si="2"/>
        <v>122777.17599999983</v>
      </c>
      <c r="CJ140" s="294">
        <v>374418.28</v>
      </c>
      <c r="CK140" s="294">
        <v>3682.89</v>
      </c>
      <c r="CL140" s="294">
        <v>1696.07</v>
      </c>
      <c r="CM140" s="294">
        <v>372431.46</v>
      </c>
      <c r="CN140" s="294">
        <v>0</v>
      </c>
      <c r="CO140" s="294">
        <v>0</v>
      </c>
      <c r="CP140" s="294">
        <v>3613.85</v>
      </c>
      <c r="CQ140" s="294">
        <v>19523.25</v>
      </c>
      <c r="CR140" s="294">
        <v>0</v>
      </c>
      <c r="CS140" s="294">
        <v>395568.56</v>
      </c>
      <c r="CT140" s="294">
        <v>0</v>
      </c>
      <c r="CU140" s="294">
        <v>0</v>
      </c>
      <c r="CV140" s="294">
        <v>0</v>
      </c>
      <c r="CW140" s="294">
        <v>0</v>
      </c>
      <c r="CX140" s="294"/>
      <c r="CY140" s="294"/>
      <c r="CZ140" s="294"/>
      <c r="DA140" s="294">
        <v>0</v>
      </c>
      <c r="DB140" s="294">
        <v>0</v>
      </c>
      <c r="DC140" s="294">
        <v>0</v>
      </c>
      <c r="DD140" s="294">
        <v>286.72000000000003</v>
      </c>
      <c r="DE140" s="294">
        <v>0</v>
      </c>
      <c r="DF140" s="294">
        <v>0</v>
      </c>
      <c r="DG140" s="294">
        <v>0</v>
      </c>
      <c r="DH140" s="294">
        <v>-13882.619999999999</v>
      </c>
      <c r="DI140" s="294">
        <v>0</v>
      </c>
      <c r="DJ140" s="294">
        <v>0</v>
      </c>
      <c r="DK140" s="294">
        <v>-13595.9</v>
      </c>
      <c r="DL140" s="294">
        <v>0</v>
      </c>
      <c r="DM140" s="294">
        <v>74587.55</v>
      </c>
      <c r="DN140" s="294">
        <v>-138</v>
      </c>
      <c r="DO140" s="294">
        <v>-333645.02999999997</v>
      </c>
      <c r="DP140" s="294">
        <v>0</v>
      </c>
      <c r="DQ140" s="324">
        <v>0</v>
      </c>
      <c r="DR140" s="295">
        <v>1019196.594</v>
      </c>
      <c r="DS140" s="325">
        <v>432540.30000000005</v>
      </c>
      <c r="DT140" s="295">
        <v>186029.38</v>
      </c>
      <c r="DU140" s="295">
        <v>313322.08999999997</v>
      </c>
      <c r="DV140" s="295">
        <v>0</v>
      </c>
      <c r="DW140" s="295">
        <v>-259195.47999999998</v>
      </c>
    </row>
    <row r="141" spans="1:127">
      <c r="A141" s="321">
        <v>2174</v>
      </c>
      <c r="B141" s="322" t="s">
        <v>371</v>
      </c>
      <c r="C141" s="321">
        <v>2174</v>
      </c>
      <c r="D141" s="323" t="s">
        <v>817</v>
      </c>
      <c r="E141" s="323" t="s">
        <v>539</v>
      </c>
      <c r="F141" s="323" t="s">
        <v>818</v>
      </c>
      <c r="G141" s="323" t="s">
        <v>537</v>
      </c>
      <c r="H141" s="294">
        <v>2035146.07</v>
      </c>
      <c r="I141" s="294">
        <v>0</v>
      </c>
      <c r="J141" s="294">
        <v>64002.15</v>
      </c>
      <c r="K141" s="294">
        <v>0</v>
      </c>
      <c r="L141" s="294">
        <v>205330</v>
      </c>
      <c r="M141" s="294">
        <v>5400</v>
      </c>
      <c r="N141" s="294">
        <v>0</v>
      </c>
      <c r="O141" s="294">
        <v>0</v>
      </c>
      <c r="P141" s="294">
        <v>46.56</v>
      </c>
      <c r="Q141" s="294">
        <v>0</v>
      </c>
      <c r="R141" s="294">
        <v>0</v>
      </c>
      <c r="S141" s="294">
        <v>0</v>
      </c>
      <c r="T141" s="294">
        <v>9214.91</v>
      </c>
      <c r="U141" s="294">
        <v>65147.81</v>
      </c>
      <c r="V141" s="294">
        <v>0</v>
      </c>
      <c r="W141" s="294">
        <v>7365</v>
      </c>
      <c r="X141" s="294">
        <v>312133.57</v>
      </c>
      <c r="Y141" s="294">
        <v>2703786.0700000003</v>
      </c>
      <c r="Z141" s="294">
        <v>1160835.96</v>
      </c>
      <c r="AA141" s="294">
        <v>0</v>
      </c>
      <c r="AB141" s="294">
        <v>481198.16</v>
      </c>
      <c r="AC141" s="294">
        <v>45237.97</v>
      </c>
      <c r="AD141" s="294">
        <v>182021.91</v>
      </c>
      <c r="AE141" s="294">
        <v>0</v>
      </c>
      <c r="AF141" s="294">
        <v>116216.02</v>
      </c>
      <c r="AG141" s="294">
        <v>7580.07</v>
      </c>
      <c r="AH141" s="294">
        <v>8999.7900000000009</v>
      </c>
      <c r="AI141" s="294">
        <v>0</v>
      </c>
      <c r="AJ141" s="294">
        <v>0</v>
      </c>
      <c r="AK141" s="294">
        <v>8577.49</v>
      </c>
      <c r="AL141" s="294">
        <v>451.01</v>
      </c>
      <c r="AM141" s="294">
        <v>36452.839999999997</v>
      </c>
      <c r="AN141" s="294">
        <v>5924.89</v>
      </c>
      <c r="AO141" s="294">
        <v>61327.31</v>
      </c>
      <c r="AP141" s="294">
        <v>20532.46</v>
      </c>
      <c r="AQ141" s="294">
        <v>5472.47</v>
      </c>
      <c r="AR141" s="294">
        <v>187072.76</v>
      </c>
      <c r="AS141" s="294">
        <v>6534.16</v>
      </c>
      <c r="AT141" s="294">
        <v>0</v>
      </c>
      <c r="AU141" s="294">
        <v>19223.2</v>
      </c>
      <c r="AV141" s="294">
        <v>8300</v>
      </c>
      <c r="AW141" s="294">
        <v>0</v>
      </c>
      <c r="AX141" s="294">
        <v>154153.29999999999</v>
      </c>
      <c r="AY141" s="294">
        <v>119718.85</v>
      </c>
      <c r="AZ141" s="294">
        <v>8703.5399999999991</v>
      </c>
      <c r="BA141" s="294">
        <v>-1657.43</v>
      </c>
      <c r="BB141" s="294">
        <v>77889.2</v>
      </c>
      <c r="BC141" s="294">
        <v>0</v>
      </c>
      <c r="BD141" s="294">
        <v>0</v>
      </c>
      <c r="BE141" s="294">
        <v>2720765.9300000006</v>
      </c>
      <c r="BF141" s="294">
        <v>185786.39999999927</v>
      </c>
      <c r="BG141" s="294">
        <v>-16979.860000000335</v>
      </c>
      <c r="BH141" s="294">
        <v>168806.53999999893</v>
      </c>
      <c r="BI141" s="294">
        <v>8050</v>
      </c>
      <c r="BJ141" s="294">
        <v>0</v>
      </c>
      <c r="BK141" s="294">
        <v>0</v>
      </c>
      <c r="BL141" s="294">
        <v>8050</v>
      </c>
      <c r="BM141" s="294">
        <v>0</v>
      </c>
      <c r="BN141" s="294">
        <v>20689</v>
      </c>
      <c r="BO141" s="294">
        <v>0</v>
      </c>
      <c r="BP141" s="294">
        <v>0</v>
      </c>
      <c r="BQ141" s="294">
        <v>20689</v>
      </c>
      <c r="BR141" s="294">
        <v>12639.25</v>
      </c>
      <c r="BS141" s="294">
        <v>-12639</v>
      </c>
      <c r="BT141" s="294">
        <v>0.25</v>
      </c>
      <c r="BU141" s="294">
        <v>0</v>
      </c>
      <c r="BV141" s="294">
        <v>0</v>
      </c>
      <c r="BW141" s="294">
        <v>0</v>
      </c>
      <c r="BX141" s="294">
        <v>0</v>
      </c>
      <c r="BY141" s="294">
        <v>0</v>
      </c>
      <c r="BZ141" s="294">
        <v>0</v>
      </c>
      <c r="CA141" s="294">
        <v>0</v>
      </c>
      <c r="CB141" s="294">
        <v>0</v>
      </c>
      <c r="CC141" s="294">
        <v>0</v>
      </c>
      <c r="CD141" s="294">
        <v>168806.53999999893</v>
      </c>
      <c r="CE141" s="294">
        <v>0</v>
      </c>
      <c r="CF141" s="294">
        <v>0.25</v>
      </c>
      <c r="CG141" s="294">
        <v>0</v>
      </c>
      <c r="CH141" s="294">
        <v>0</v>
      </c>
      <c r="CI141" s="294">
        <f t="shared" si="2"/>
        <v>168806.78999999893</v>
      </c>
      <c r="CJ141" s="294">
        <v>358550.92</v>
      </c>
      <c r="CK141" s="294">
        <v>187317.26</v>
      </c>
      <c r="CL141" s="294">
        <v>0</v>
      </c>
      <c r="CM141" s="294">
        <v>171233.65999999997</v>
      </c>
      <c r="CN141" s="294">
        <v>39.630000000000003</v>
      </c>
      <c r="CO141" s="294">
        <v>0</v>
      </c>
      <c r="CP141" s="294">
        <v>8664.1200000000008</v>
      </c>
      <c r="CQ141" s="294">
        <v>1380.39</v>
      </c>
      <c r="CR141" s="294">
        <v>0</v>
      </c>
      <c r="CS141" s="294">
        <v>181317.8</v>
      </c>
      <c r="CT141" s="294">
        <v>718.4</v>
      </c>
      <c r="CU141" s="294">
        <v>0</v>
      </c>
      <c r="CV141" s="294">
        <v>0</v>
      </c>
      <c r="CW141" s="294">
        <v>718.4</v>
      </c>
      <c r="CX141" s="294"/>
      <c r="CY141" s="294"/>
      <c r="CZ141" s="294"/>
      <c r="DA141" s="294">
        <v>0</v>
      </c>
      <c r="DB141" s="294">
        <v>718.4</v>
      </c>
      <c r="DC141" s="294">
        <v>0</v>
      </c>
      <c r="DD141" s="294">
        <v>0</v>
      </c>
      <c r="DE141" s="294">
        <v>0</v>
      </c>
      <c r="DF141" s="294">
        <v>0</v>
      </c>
      <c r="DG141" s="294">
        <v>-11523.75</v>
      </c>
      <c r="DH141" s="294">
        <v>0</v>
      </c>
      <c r="DI141" s="294">
        <v>0</v>
      </c>
      <c r="DJ141" s="294">
        <v>0</v>
      </c>
      <c r="DK141" s="294">
        <v>-11523.75</v>
      </c>
      <c r="DL141" s="294">
        <v>0</v>
      </c>
      <c r="DM141" s="294">
        <v>0</v>
      </c>
      <c r="DN141" s="294">
        <v>-1706</v>
      </c>
      <c r="DO141" s="294">
        <v>0</v>
      </c>
      <c r="DP141" s="294">
        <v>0</v>
      </c>
      <c r="DQ141" s="324"/>
      <c r="DR141" s="295">
        <v>1993090.0899999999</v>
      </c>
      <c r="DS141" s="325">
        <v>727675.84000000078</v>
      </c>
      <c r="DT141" s="295">
        <v>119718.85</v>
      </c>
      <c r="DU141" s="295">
        <v>9261.4699999999993</v>
      </c>
      <c r="DV141" s="295">
        <v>65147.81</v>
      </c>
      <c r="DW141" s="295">
        <v>-1706</v>
      </c>
    </row>
    <row r="142" spans="1:127">
      <c r="A142" s="328">
        <v>2176</v>
      </c>
      <c r="B142" s="323" t="s">
        <v>508</v>
      </c>
      <c r="C142" s="328">
        <v>2176</v>
      </c>
      <c r="D142" s="323" t="s">
        <v>817</v>
      </c>
      <c r="E142" s="323" t="s">
        <v>539</v>
      </c>
      <c r="F142" s="323" t="s">
        <v>818</v>
      </c>
      <c r="G142" s="323" t="s">
        <v>537</v>
      </c>
      <c r="H142" s="294">
        <v>4053310</v>
      </c>
      <c r="I142" s="294">
        <v>0</v>
      </c>
      <c r="J142" s="294">
        <v>287116</v>
      </c>
      <c r="K142" s="294">
        <v>0</v>
      </c>
      <c r="L142" s="294">
        <v>414400</v>
      </c>
      <c r="M142" s="294">
        <v>221725</v>
      </c>
      <c r="N142" s="294">
        <v>0</v>
      </c>
      <c r="O142" s="294">
        <v>0</v>
      </c>
      <c r="P142" s="294">
        <v>48099</v>
      </c>
      <c r="Q142" s="294">
        <v>20536</v>
      </c>
      <c r="R142" s="294">
        <v>0</v>
      </c>
      <c r="S142" s="294">
        <v>0</v>
      </c>
      <c r="T142" s="294">
        <v>16556</v>
      </c>
      <c r="U142" s="294">
        <v>0</v>
      </c>
      <c r="V142" s="294">
        <v>0</v>
      </c>
      <c r="W142" s="294">
        <v>24389</v>
      </c>
      <c r="X142" s="294">
        <v>98228</v>
      </c>
      <c r="Y142" s="294">
        <v>5184359</v>
      </c>
      <c r="Z142" s="294">
        <v>1548608</v>
      </c>
      <c r="AA142" s="294">
        <v>253</v>
      </c>
      <c r="AB142" s="294">
        <v>-24192</v>
      </c>
      <c r="AC142" s="294">
        <v>803530</v>
      </c>
      <c r="AD142" s="294">
        <v>0</v>
      </c>
      <c r="AE142" s="294">
        <v>218</v>
      </c>
      <c r="AF142" s="294">
        <v>982344</v>
      </c>
      <c r="AG142" s="294">
        <v>40266</v>
      </c>
      <c r="AH142" s="294">
        <v>15488</v>
      </c>
      <c r="AI142" s="294">
        <v>0</v>
      </c>
      <c r="AJ142" s="294">
        <v>0</v>
      </c>
      <c r="AK142" s="294">
        <v>26976</v>
      </c>
      <c r="AL142" s="294">
        <v>0</v>
      </c>
      <c r="AM142" s="294">
        <v>0</v>
      </c>
      <c r="AN142" s="294">
        <v>0</v>
      </c>
      <c r="AO142" s="294">
        <v>76342</v>
      </c>
      <c r="AP142" s="294">
        <v>62010</v>
      </c>
      <c r="AQ142" s="294">
        <v>350</v>
      </c>
      <c r="AR142" s="294">
        <v>727426</v>
      </c>
      <c r="AS142" s="294">
        <v>7780</v>
      </c>
      <c r="AT142" s="294">
        <v>96</v>
      </c>
      <c r="AU142" s="294">
        <v>3648</v>
      </c>
      <c r="AV142" s="294">
        <v>33767</v>
      </c>
      <c r="AW142" s="294">
        <v>0</v>
      </c>
      <c r="AX142" s="294">
        <v>149</v>
      </c>
      <c r="AY142" s="294">
        <v>544406</v>
      </c>
      <c r="AZ142" s="294">
        <v>16220</v>
      </c>
      <c r="BA142" s="294">
        <v>214511</v>
      </c>
      <c r="BB142" s="294">
        <v>0</v>
      </c>
      <c r="BC142" s="294">
        <v>0</v>
      </c>
      <c r="BD142" s="294">
        <v>0</v>
      </c>
      <c r="BE142" s="294">
        <v>5080195</v>
      </c>
      <c r="BF142" s="294">
        <v>306060</v>
      </c>
      <c r="BG142" s="294">
        <v>104164</v>
      </c>
      <c r="BH142" s="294">
        <v>410224</v>
      </c>
      <c r="BI142" s="294">
        <v>11859</v>
      </c>
      <c r="BJ142" s="294">
        <v>0</v>
      </c>
      <c r="BK142" s="294">
        <v>0</v>
      </c>
      <c r="BL142" s="294">
        <v>11859</v>
      </c>
      <c r="BM142" s="294">
        <v>0</v>
      </c>
      <c r="BN142" s="294">
        <v>2054</v>
      </c>
      <c r="BO142" s="294">
        <v>0</v>
      </c>
      <c r="BP142" s="294">
        <v>0</v>
      </c>
      <c r="BQ142" s="294">
        <v>2054</v>
      </c>
      <c r="BR142" s="294">
        <v>0</v>
      </c>
      <c r="BS142" s="294">
        <v>9805</v>
      </c>
      <c r="BT142" s="294">
        <v>9805</v>
      </c>
      <c r="BU142" s="294">
        <v>0</v>
      </c>
      <c r="BV142" s="294">
        <v>0</v>
      </c>
      <c r="BW142" s="294">
        <v>0</v>
      </c>
      <c r="BX142" s="294">
        <v>0</v>
      </c>
      <c r="BY142" s="294">
        <v>0</v>
      </c>
      <c r="BZ142" s="294">
        <v>0</v>
      </c>
      <c r="CA142" s="294">
        <v>0</v>
      </c>
      <c r="CB142" s="294">
        <v>0</v>
      </c>
      <c r="CC142" s="294">
        <v>0</v>
      </c>
      <c r="CD142" s="294">
        <v>410224</v>
      </c>
      <c r="CE142" s="294">
        <v>0</v>
      </c>
      <c r="CF142" s="294">
        <v>9805</v>
      </c>
      <c r="CG142" s="294">
        <v>0</v>
      </c>
      <c r="CH142" s="294">
        <v>0</v>
      </c>
      <c r="CI142" s="294">
        <f t="shared" si="2"/>
        <v>420029</v>
      </c>
      <c r="CJ142" s="294">
        <v>728792</v>
      </c>
      <c r="CK142" s="294">
        <v>0</v>
      </c>
      <c r="CL142" s="294">
        <v>0</v>
      </c>
      <c r="CM142" s="294">
        <v>728792</v>
      </c>
      <c r="CN142" s="294">
        <v>0</v>
      </c>
      <c r="CO142" s="294">
        <v>0</v>
      </c>
      <c r="CP142" s="294">
        <v>50775</v>
      </c>
      <c r="CQ142" s="294">
        <v>0</v>
      </c>
      <c r="CR142" s="294">
        <v>-368726</v>
      </c>
      <c r="CS142" s="294">
        <v>410841</v>
      </c>
      <c r="CT142" s="294">
        <v>0</v>
      </c>
      <c r="CU142" s="294">
        <v>0</v>
      </c>
      <c r="CV142" s="294">
        <v>0</v>
      </c>
      <c r="CW142" s="294">
        <v>0</v>
      </c>
      <c r="CX142" s="294"/>
      <c r="CY142" s="294"/>
      <c r="CZ142" s="294"/>
      <c r="DA142" s="294">
        <v>0</v>
      </c>
      <c r="DB142" s="294">
        <v>0</v>
      </c>
      <c r="DC142" s="294">
        <v>0</v>
      </c>
      <c r="DD142" s="294">
        <v>9447</v>
      </c>
      <c r="DE142" s="294">
        <v>0</v>
      </c>
      <c r="DF142" s="294">
        <v>0</v>
      </c>
      <c r="DG142" s="294">
        <v>0</v>
      </c>
      <c r="DH142" s="294">
        <v>-260</v>
      </c>
      <c r="DI142" s="294">
        <v>0</v>
      </c>
      <c r="DJ142" s="294">
        <v>0</v>
      </c>
      <c r="DK142" s="294">
        <v>9187</v>
      </c>
      <c r="DL142" s="294">
        <v>0</v>
      </c>
      <c r="DM142" s="294">
        <v>0</v>
      </c>
      <c r="DN142" s="294">
        <v>0</v>
      </c>
      <c r="DO142" s="294">
        <v>0</v>
      </c>
      <c r="DP142" s="294">
        <v>0</v>
      </c>
      <c r="DQ142" s="324">
        <v>0.02</v>
      </c>
      <c r="DR142" s="295">
        <v>3351027</v>
      </c>
      <c r="DS142" s="325">
        <v>1729168</v>
      </c>
      <c r="DT142" s="295">
        <v>544406</v>
      </c>
      <c r="DU142" s="295">
        <v>85191</v>
      </c>
      <c r="DV142" s="295">
        <v>0</v>
      </c>
      <c r="DW142" s="295">
        <v>0</v>
      </c>
    </row>
    <row r="143" spans="1:127">
      <c r="A143" s="321">
        <v>7047</v>
      </c>
      <c r="B143" s="322" t="s">
        <v>454</v>
      </c>
      <c r="C143" s="321">
        <v>7047</v>
      </c>
      <c r="D143" s="323" t="s">
        <v>817</v>
      </c>
      <c r="E143" s="323" t="s">
        <v>541</v>
      </c>
      <c r="F143" s="323" t="s">
        <v>818</v>
      </c>
      <c r="G143" s="323" t="s">
        <v>537</v>
      </c>
      <c r="H143" s="294">
        <v>1138291.0900000001</v>
      </c>
      <c r="I143" s="294">
        <v>0</v>
      </c>
      <c r="J143" s="294">
        <v>1676516.84</v>
      </c>
      <c r="K143" s="294">
        <v>0</v>
      </c>
      <c r="L143" s="294">
        <v>106120</v>
      </c>
      <c r="M143" s="294">
        <v>33485.43</v>
      </c>
      <c r="N143" s="294">
        <v>0</v>
      </c>
      <c r="O143" s="294">
        <v>0</v>
      </c>
      <c r="P143" s="294">
        <v>413214.2099999999</v>
      </c>
      <c r="Q143" s="294">
        <v>0</v>
      </c>
      <c r="R143" s="294">
        <v>0</v>
      </c>
      <c r="S143" s="294">
        <v>0</v>
      </c>
      <c r="T143" s="294">
        <v>0</v>
      </c>
      <c r="U143" s="294">
        <v>0</v>
      </c>
      <c r="V143" s="294">
        <v>0</v>
      </c>
      <c r="W143" s="294">
        <v>4894.2700000000004</v>
      </c>
      <c r="X143" s="294">
        <v>19013</v>
      </c>
      <c r="Y143" s="294">
        <v>3391534.8400000003</v>
      </c>
      <c r="Z143" s="294">
        <v>1130452.8299999968</v>
      </c>
      <c r="AA143" s="294">
        <v>0</v>
      </c>
      <c r="AB143" s="294">
        <v>827189.33</v>
      </c>
      <c r="AC143" s="294">
        <v>22796.199999998673</v>
      </c>
      <c r="AD143" s="294">
        <v>241007.92</v>
      </c>
      <c r="AE143" s="294">
        <v>0</v>
      </c>
      <c r="AF143" s="294">
        <v>68357.070000000414</v>
      </c>
      <c r="AG143" s="294">
        <v>7194.6300000000701</v>
      </c>
      <c r="AH143" s="294">
        <v>4578</v>
      </c>
      <c r="AI143" s="294">
        <v>0</v>
      </c>
      <c r="AJ143" s="294">
        <v>0</v>
      </c>
      <c r="AK143" s="294">
        <v>36439.640000000007</v>
      </c>
      <c r="AL143" s="294">
        <v>20715.690000000002</v>
      </c>
      <c r="AM143" s="294">
        <v>7204.03</v>
      </c>
      <c r="AN143" s="294">
        <v>4314.3599999999997</v>
      </c>
      <c r="AO143" s="294">
        <v>111163.79000000002</v>
      </c>
      <c r="AP143" s="294">
        <v>0</v>
      </c>
      <c r="AQ143" s="294">
        <v>24093.799999999996</v>
      </c>
      <c r="AR143" s="294">
        <v>201119.67000000004</v>
      </c>
      <c r="AS143" s="294">
        <v>35031.449999999997</v>
      </c>
      <c r="AT143" s="294">
        <v>0</v>
      </c>
      <c r="AU143" s="294">
        <v>32434.38</v>
      </c>
      <c r="AV143" s="294">
        <v>3291.75</v>
      </c>
      <c r="AW143" s="294">
        <v>3228.3199999999997</v>
      </c>
      <c r="AX143" s="294">
        <v>27723.559999999998</v>
      </c>
      <c r="AY143" s="294">
        <v>913802.40999999968</v>
      </c>
      <c r="AZ143" s="294">
        <v>0</v>
      </c>
      <c r="BA143" s="294">
        <v>174378.08000000002</v>
      </c>
      <c r="BB143" s="294">
        <v>0</v>
      </c>
      <c r="BC143" s="294">
        <v>0</v>
      </c>
      <c r="BD143" s="294">
        <v>0</v>
      </c>
      <c r="BE143" s="294">
        <v>3896516.909999995</v>
      </c>
      <c r="BF143" s="294">
        <v>107972.94000000032</v>
      </c>
      <c r="BG143" s="294">
        <v>-504982.06999999471</v>
      </c>
      <c r="BH143" s="294">
        <v>-397009.12999999442</v>
      </c>
      <c r="BI143" s="294">
        <v>21896.129999999997</v>
      </c>
      <c r="BJ143" s="294">
        <v>0</v>
      </c>
      <c r="BK143" s="294">
        <v>0</v>
      </c>
      <c r="BL143" s="294">
        <v>21896.129999999997</v>
      </c>
      <c r="BM143" s="294">
        <v>0</v>
      </c>
      <c r="BN143" s="294">
        <v>0</v>
      </c>
      <c r="BO143" s="294">
        <v>0</v>
      </c>
      <c r="BP143" s="294">
        <v>0</v>
      </c>
      <c r="BQ143" s="294">
        <v>0</v>
      </c>
      <c r="BR143" s="294">
        <v>0</v>
      </c>
      <c r="BS143" s="294">
        <v>21896.129999999997</v>
      </c>
      <c r="BT143" s="294">
        <v>21896.129999999997</v>
      </c>
      <c r="BU143" s="294">
        <v>0</v>
      </c>
      <c r="BV143" s="294">
        <v>0</v>
      </c>
      <c r="BW143" s="294">
        <v>0</v>
      </c>
      <c r="BX143" s="294">
        <v>0</v>
      </c>
      <c r="BY143" s="294">
        <v>0</v>
      </c>
      <c r="BZ143" s="294">
        <v>0</v>
      </c>
      <c r="CA143" s="294">
        <v>0</v>
      </c>
      <c r="CB143" s="294">
        <v>0</v>
      </c>
      <c r="CC143" s="294">
        <v>0</v>
      </c>
      <c r="CD143" s="294">
        <v>-397009.12999999442</v>
      </c>
      <c r="CE143" s="294">
        <v>0</v>
      </c>
      <c r="CF143" s="294">
        <v>21896.129999999997</v>
      </c>
      <c r="CG143" s="294">
        <v>0</v>
      </c>
      <c r="CH143" s="294">
        <v>0</v>
      </c>
      <c r="CI143" s="294">
        <f t="shared" si="2"/>
        <v>-375112.99999999441</v>
      </c>
      <c r="CJ143" s="294">
        <v>30396.46</v>
      </c>
      <c r="CK143" s="294">
        <v>1889.72</v>
      </c>
      <c r="CL143" s="294">
        <v>0</v>
      </c>
      <c r="CM143" s="294">
        <v>28506.739999999998</v>
      </c>
      <c r="CN143" s="294">
        <v>0</v>
      </c>
      <c r="CO143" s="294">
        <v>0</v>
      </c>
      <c r="CP143" s="294">
        <v>29974</v>
      </c>
      <c r="CQ143" s="294">
        <v>0</v>
      </c>
      <c r="CR143" s="294">
        <v>-463952.81999999995</v>
      </c>
      <c r="CS143" s="294">
        <v>-405472.07999999996</v>
      </c>
      <c r="CT143" s="294">
        <v>0</v>
      </c>
      <c r="CU143" s="294">
        <v>0</v>
      </c>
      <c r="CV143" s="294">
        <v>0</v>
      </c>
      <c r="CW143" s="294">
        <v>0</v>
      </c>
      <c r="CX143" s="294"/>
      <c r="CY143" s="294"/>
      <c r="CZ143" s="294"/>
      <c r="DA143" s="294">
        <v>0</v>
      </c>
      <c r="DB143" s="294">
        <v>0</v>
      </c>
      <c r="DC143" s="294">
        <v>54972.45</v>
      </c>
      <c r="DD143" s="294">
        <v>17901.349999999999</v>
      </c>
      <c r="DE143" s="294">
        <v>0</v>
      </c>
      <c r="DF143" s="294">
        <v>0</v>
      </c>
      <c r="DG143" s="294">
        <v>-42514.720000000001</v>
      </c>
      <c r="DH143" s="294">
        <v>0</v>
      </c>
      <c r="DI143" s="294">
        <v>0</v>
      </c>
      <c r="DJ143" s="294">
        <v>0</v>
      </c>
      <c r="DK143" s="294">
        <v>30359.079999999987</v>
      </c>
      <c r="DL143" s="294">
        <v>0</v>
      </c>
      <c r="DM143" s="294">
        <v>0</v>
      </c>
      <c r="DN143" s="294">
        <v>0</v>
      </c>
      <c r="DO143" s="294">
        <v>0</v>
      </c>
      <c r="DP143" s="294">
        <v>0</v>
      </c>
      <c r="DQ143" s="324">
        <v>0</v>
      </c>
      <c r="DR143" s="295">
        <v>2296997.9799999958</v>
      </c>
      <c r="DS143" s="325">
        <v>1599518.9299999992</v>
      </c>
      <c r="DT143" s="295">
        <v>913802.40999999968</v>
      </c>
      <c r="DU143" s="295">
        <v>413214.2099999999</v>
      </c>
      <c r="DV143" s="295">
        <v>0</v>
      </c>
      <c r="DW143" s="295">
        <v>0</v>
      </c>
    </row>
    <row r="144" spans="1:127">
      <c r="A144" s="321">
        <v>3410</v>
      </c>
      <c r="B144" s="322" t="s">
        <v>509</v>
      </c>
      <c r="C144" s="321">
        <v>3410</v>
      </c>
      <c r="D144" s="323" t="s">
        <v>817</v>
      </c>
      <c r="E144" s="323" t="s">
        <v>539</v>
      </c>
      <c r="F144" s="323" t="s">
        <v>818</v>
      </c>
      <c r="G144" s="323" t="s">
        <v>537</v>
      </c>
      <c r="H144" s="294">
        <v>1200749.6200000001</v>
      </c>
      <c r="I144" s="294">
        <v>0</v>
      </c>
      <c r="J144" s="294">
        <v>101960.56</v>
      </c>
      <c r="K144" s="294">
        <v>0</v>
      </c>
      <c r="L144" s="294">
        <v>76400</v>
      </c>
      <c r="M144" s="294">
        <v>1628.22</v>
      </c>
      <c r="N144" s="294">
        <v>0</v>
      </c>
      <c r="O144" s="294">
        <v>0</v>
      </c>
      <c r="P144" s="294">
        <v>81658.760000000038</v>
      </c>
      <c r="Q144" s="294">
        <v>16511</v>
      </c>
      <c r="R144" s="294">
        <v>0</v>
      </c>
      <c r="S144" s="294">
        <v>0</v>
      </c>
      <c r="T144" s="294">
        <v>10805</v>
      </c>
      <c r="U144" s="294">
        <v>0</v>
      </c>
      <c r="V144" s="294">
        <v>0</v>
      </c>
      <c r="W144" s="294">
        <v>1206.05</v>
      </c>
      <c r="X144" s="294">
        <v>49871</v>
      </c>
      <c r="Y144" s="294">
        <v>1540790.2100000002</v>
      </c>
      <c r="Z144" s="294">
        <v>656819.0900000002</v>
      </c>
      <c r="AA144" s="294">
        <v>0</v>
      </c>
      <c r="AB144" s="294">
        <v>244109.31</v>
      </c>
      <c r="AC144" s="294">
        <v>39379.939999999769</v>
      </c>
      <c r="AD144" s="294">
        <v>82428.649999999994</v>
      </c>
      <c r="AE144" s="294">
        <v>0</v>
      </c>
      <c r="AF144" s="294">
        <v>51801.340000000171</v>
      </c>
      <c r="AG144" s="294">
        <v>0</v>
      </c>
      <c r="AH144" s="294">
        <v>7439</v>
      </c>
      <c r="AI144" s="294">
        <v>0</v>
      </c>
      <c r="AJ144" s="294">
        <v>0</v>
      </c>
      <c r="AK144" s="294">
        <v>457.15999999999997</v>
      </c>
      <c r="AL144" s="294">
        <v>0</v>
      </c>
      <c r="AM144" s="294">
        <v>4490.2700000000004</v>
      </c>
      <c r="AN144" s="294">
        <v>0</v>
      </c>
      <c r="AO144" s="294">
        <v>23061</v>
      </c>
      <c r="AP144" s="294">
        <v>3921.97</v>
      </c>
      <c r="AQ144" s="294">
        <v>1970.9299999999998</v>
      </c>
      <c r="AR144" s="294">
        <v>171144.34000000003</v>
      </c>
      <c r="AS144" s="294">
        <v>683.86</v>
      </c>
      <c r="AT144" s="294">
        <v>24.04</v>
      </c>
      <c r="AU144" s="294">
        <v>10805.689999999995</v>
      </c>
      <c r="AV144" s="294">
        <v>9500.73</v>
      </c>
      <c r="AW144" s="294">
        <v>0</v>
      </c>
      <c r="AX144" s="294">
        <v>122415.35</v>
      </c>
      <c r="AY144" s="294">
        <v>0</v>
      </c>
      <c r="AZ144" s="294">
        <v>5139.3500000000004</v>
      </c>
      <c r="BA144" s="294">
        <v>80601.78</v>
      </c>
      <c r="BB144" s="294">
        <v>0</v>
      </c>
      <c r="BC144" s="294">
        <v>0</v>
      </c>
      <c r="BD144" s="294">
        <v>0</v>
      </c>
      <c r="BE144" s="294">
        <v>1516193.8000000003</v>
      </c>
      <c r="BF144" s="294">
        <v>200024.57000000018</v>
      </c>
      <c r="BG144" s="294">
        <v>24596.409999999916</v>
      </c>
      <c r="BH144" s="294">
        <v>224620.9800000001</v>
      </c>
      <c r="BI144" s="294">
        <v>0</v>
      </c>
      <c r="BJ144" s="294">
        <v>0</v>
      </c>
      <c r="BK144" s="294">
        <v>0</v>
      </c>
      <c r="BL144" s="294">
        <v>0</v>
      </c>
      <c r="BM144" s="294">
        <v>0</v>
      </c>
      <c r="BN144" s="294">
        <v>0</v>
      </c>
      <c r="BO144" s="294">
        <v>0</v>
      </c>
      <c r="BP144" s="294">
        <v>0</v>
      </c>
      <c r="BQ144" s="294">
        <v>0</v>
      </c>
      <c r="BR144" s="294">
        <v>0</v>
      </c>
      <c r="BS144" s="294">
        <v>0</v>
      </c>
      <c r="BT144" s="294">
        <v>0</v>
      </c>
      <c r="BU144" s="294">
        <v>0</v>
      </c>
      <c r="BV144" s="294">
        <v>0</v>
      </c>
      <c r="BW144" s="294">
        <v>0</v>
      </c>
      <c r="BX144" s="294">
        <v>0</v>
      </c>
      <c r="BY144" s="294">
        <v>0</v>
      </c>
      <c r="BZ144" s="294">
        <v>0</v>
      </c>
      <c r="CA144" s="294">
        <v>0</v>
      </c>
      <c r="CB144" s="294">
        <v>0</v>
      </c>
      <c r="CC144" s="294">
        <v>0</v>
      </c>
      <c r="CD144" s="294">
        <v>224620.9800000001</v>
      </c>
      <c r="CE144" s="294">
        <v>0</v>
      </c>
      <c r="CF144" s="294">
        <v>0</v>
      </c>
      <c r="CG144" s="294">
        <v>0</v>
      </c>
      <c r="CH144" s="294">
        <v>0</v>
      </c>
      <c r="CI144" s="294">
        <f t="shared" si="2"/>
        <v>224620.9800000001</v>
      </c>
      <c r="CJ144" s="294">
        <v>112140.55</v>
      </c>
      <c r="CK144" s="294">
        <v>0</v>
      </c>
      <c r="CL144" s="294">
        <v>0</v>
      </c>
      <c r="CM144" s="294">
        <v>112140.55</v>
      </c>
      <c r="CN144" s="294">
        <v>0</v>
      </c>
      <c r="CO144" s="294">
        <v>0</v>
      </c>
      <c r="CP144" s="294">
        <v>2456.73</v>
      </c>
      <c r="CQ144" s="294">
        <v>2688.55</v>
      </c>
      <c r="CR144" s="294">
        <v>122158.42</v>
      </c>
      <c r="CS144" s="294">
        <v>239444.25</v>
      </c>
      <c r="CT144" s="294">
        <v>0</v>
      </c>
      <c r="CU144" s="294">
        <v>0</v>
      </c>
      <c r="CV144" s="294">
        <v>0</v>
      </c>
      <c r="CW144" s="294">
        <v>0</v>
      </c>
      <c r="CX144" s="294"/>
      <c r="CY144" s="294"/>
      <c r="CZ144" s="294"/>
      <c r="DA144" s="294">
        <v>0</v>
      </c>
      <c r="DB144" s="294">
        <v>0</v>
      </c>
      <c r="DC144" s="294">
        <v>0</v>
      </c>
      <c r="DD144" s="294">
        <v>6289</v>
      </c>
      <c r="DE144" s="294">
        <v>0</v>
      </c>
      <c r="DF144" s="294">
        <v>0</v>
      </c>
      <c r="DG144" s="294">
        <v>0</v>
      </c>
      <c r="DH144" s="294">
        <v>-21112.27</v>
      </c>
      <c r="DI144" s="294">
        <v>0</v>
      </c>
      <c r="DJ144" s="294">
        <v>0</v>
      </c>
      <c r="DK144" s="294">
        <v>-14823.27</v>
      </c>
      <c r="DL144" s="294">
        <v>0</v>
      </c>
      <c r="DM144" s="294">
        <v>0</v>
      </c>
      <c r="DN144" s="294">
        <v>0</v>
      </c>
      <c r="DO144" s="294">
        <v>0</v>
      </c>
      <c r="DP144" s="294">
        <v>0</v>
      </c>
      <c r="DQ144" s="324">
        <v>0</v>
      </c>
      <c r="DR144" s="295">
        <v>1074538.33</v>
      </c>
      <c r="DS144" s="325">
        <v>441655.4700000002</v>
      </c>
      <c r="DT144" s="295">
        <v>0</v>
      </c>
      <c r="DU144" s="295">
        <v>108974.76000000004</v>
      </c>
      <c r="DV144" s="295">
        <v>0</v>
      </c>
      <c r="DW144" s="295">
        <v>0</v>
      </c>
    </row>
    <row r="145" spans="1:127">
      <c r="A145" s="321">
        <v>3381</v>
      </c>
      <c r="B145" s="322" t="s">
        <v>455</v>
      </c>
      <c r="C145" s="321">
        <v>3381</v>
      </c>
      <c r="D145" s="323" t="s">
        <v>817</v>
      </c>
      <c r="E145" s="323" t="s">
        <v>539</v>
      </c>
      <c r="F145" s="323" t="s">
        <v>818</v>
      </c>
      <c r="G145" s="323" t="s">
        <v>537</v>
      </c>
      <c r="H145" s="294">
        <v>1177003.24</v>
      </c>
      <c r="I145" s="294">
        <v>0</v>
      </c>
      <c r="J145" s="294">
        <v>32834.18</v>
      </c>
      <c r="K145" s="294">
        <v>0</v>
      </c>
      <c r="L145" s="294">
        <v>103160</v>
      </c>
      <c r="M145" s="294">
        <v>0</v>
      </c>
      <c r="N145" s="294">
        <v>10401.9</v>
      </c>
      <c r="O145" s="294">
        <v>0</v>
      </c>
      <c r="P145" s="294">
        <v>34629.959999999992</v>
      </c>
      <c r="Q145" s="294">
        <v>401.76000000000005</v>
      </c>
      <c r="R145" s="294">
        <v>0</v>
      </c>
      <c r="S145" s="294">
        <v>0</v>
      </c>
      <c r="T145" s="294">
        <v>16713.010000000002</v>
      </c>
      <c r="U145" s="294">
        <v>0</v>
      </c>
      <c r="V145" s="294">
        <v>0</v>
      </c>
      <c r="W145" s="294">
        <v>5634.58</v>
      </c>
      <c r="X145" s="294">
        <v>47531</v>
      </c>
      <c r="Y145" s="294">
        <v>1428309.63</v>
      </c>
      <c r="Z145" s="294">
        <v>666650.35000000033</v>
      </c>
      <c r="AA145" s="294">
        <v>0</v>
      </c>
      <c r="AB145" s="294">
        <v>221133.86</v>
      </c>
      <c r="AC145" s="294">
        <v>612.78999999974621</v>
      </c>
      <c r="AD145" s="294">
        <v>180805.24</v>
      </c>
      <c r="AE145" s="294">
        <v>0</v>
      </c>
      <c r="AF145" s="294">
        <v>26794.209999999992</v>
      </c>
      <c r="AG145" s="294">
        <v>49.840000000001965</v>
      </c>
      <c r="AH145" s="294">
        <v>1765.1</v>
      </c>
      <c r="AI145" s="294">
        <v>0</v>
      </c>
      <c r="AJ145" s="294">
        <v>0</v>
      </c>
      <c r="AK145" s="294">
        <v>1966.69</v>
      </c>
      <c r="AL145" s="294">
        <v>1702.55</v>
      </c>
      <c r="AM145" s="294">
        <v>2563.63</v>
      </c>
      <c r="AN145" s="294">
        <v>2404.17</v>
      </c>
      <c r="AO145" s="294">
        <v>19778.48</v>
      </c>
      <c r="AP145" s="294">
        <v>3974.98</v>
      </c>
      <c r="AQ145" s="294">
        <v>7829.2</v>
      </c>
      <c r="AR145" s="294">
        <v>87755.35</v>
      </c>
      <c r="AS145" s="294">
        <v>6323.09</v>
      </c>
      <c r="AT145" s="294">
        <v>0</v>
      </c>
      <c r="AU145" s="294">
        <v>13339.8</v>
      </c>
      <c r="AV145" s="294">
        <v>0</v>
      </c>
      <c r="AW145" s="294">
        <v>0</v>
      </c>
      <c r="AX145" s="294">
        <v>98961.010000000009</v>
      </c>
      <c r="AY145" s="294">
        <v>578.53</v>
      </c>
      <c r="AZ145" s="294">
        <v>58843.470000000008</v>
      </c>
      <c r="BA145" s="294">
        <v>0</v>
      </c>
      <c r="BB145" s="294">
        <v>130</v>
      </c>
      <c r="BC145" s="294">
        <v>0</v>
      </c>
      <c r="BD145" s="294">
        <v>218.4</v>
      </c>
      <c r="BE145" s="294">
        <v>1404180.74</v>
      </c>
      <c r="BF145" s="294">
        <v>18021.779999999904</v>
      </c>
      <c r="BG145" s="294">
        <v>24128.889999999898</v>
      </c>
      <c r="BH145" s="294">
        <v>42150.669999999802</v>
      </c>
      <c r="BI145" s="294">
        <v>0</v>
      </c>
      <c r="BJ145" s="294">
        <v>0</v>
      </c>
      <c r="BK145" s="294">
        <v>218.4</v>
      </c>
      <c r="BL145" s="294">
        <v>218.4</v>
      </c>
      <c r="BM145" s="294">
        <v>0</v>
      </c>
      <c r="BN145" s="294">
        <v>218.4</v>
      </c>
      <c r="BO145" s="294">
        <v>0</v>
      </c>
      <c r="BP145" s="294">
        <v>0</v>
      </c>
      <c r="BQ145" s="294">
        <v>218.4</v>
      </c>
      <c r="BR145" s="294">
        <v>0</v>
      </c>
      <c r="BS145" s="294">
        <v>0</v>
      </c>
      <c r="BT145" s="294">
        <v>0</v>
      </c>
      <c r="BU145" s="294">
        <v>0</v>
      </c>
      <c r="BV145" s="294">
        <v>0</v>
      </c>
      <c r="BW145" s="294">
        <v>0</v>
      </c>
      <c r="BX145" s="294">
        <v>0</v>
      </c>
      <c r="BY145" s="294">
        <v>0</v>
      </c>
      <c r="BZ145" s="294">
        <v>0</v>
      </c>
      <c r="CA145" s="294">
        <v>0</v>
      </c>
      <c r="CB145" s="294">
        <v>0</v>
      </c>
      <c r="CC145" s="294">
        <v>0</v>
      </c>
      <c r="CD145" s="294">
        <v>42150.669999999802</v>
      </c>
      <c r="CE145" s="294">
        <v>0</v>
      </c>
      <c r="CF145" s="294">
        <v>0</v>
      </c>
      <c r="CG145" s="294">
        <v>0</v>
      </c>
      <c r="CH145" s="294">
        <v>0</v>
      </c>
      <c r="CI145" s="294">
        <f t="shared" si="2"/>
        <v>42150.669999999802</v>
      </c>
      <c r="CJ145" s="294">
        <v>176802</v>
      </c>
      <c r="CK145" s="294">
        <v>8786</v>
      </c>
      <c r="CL145" s="294">
        <v>0</v>
      </c>
      <c r="CM145" s="294">
        <v>168016</v>
      </c>
      <c r="CN145" s="294">
        <v>0</v>
      </c>
      <c r="CO145" s="294">
        <v>0</v>
      </c>
      <c r="CP145" s="294">
        <v>701</v>
      </c>
      <c r="CQ145" s="294">
        <v>0</v>
      </c>
      <c r="CR145" s="294">
        <v>-109399</v>
      </c>
      <c r="CS145" s="294">
        <v>59318</v>
      </c>
      <c r="CT145" s="294">
        <v>0</v>
      </c>
      <c r="CU145" s="294">
        <v>0</v>
      </c>
      <c r="CV145" s="294">
        <v>0</v>
      </c>
      <c r="CW145" s="294">
        <v>0</v>
      </c>
      <c r="CX145" s="294"/>
      <c r="CY145" s="294"/>
      <c r="CZ145" s="294"/>
      <c r="DA145" s="294">
        <v>0</v>
      </c>
      <c r="DB145" s="294">
        <v>0</v>
      </c>
      <c r="DC145" s="294">
        <v>11460.07</v>
      </c>
      <c r="DD145" s="294">
        <v>304.54000000000002</v>
      </c>
      <c r="DE145" s="294">
        <v>0</v>
      </c>
      <c r="DF145" s="294">
        <v>0</v>
      </c>
      <c r="DG145" s="294">
        <v>-5817.85</v>
      </c>
      <c r="DH145" s="294">
        <v>-21953.81</v>
      </c>
      <c r="DI145" s="294">
        <v>0</v>
      </c>
      <c r="DJ145" s="294">
        <v>0</v>
      </c>
      <c r="DK145" s="294">
        <v>-16007.050000000001</v>
      </c>
      <c r="DL145" s="294">
        <v>0</v>
      </c>
      <c r="DM145" s="294">
        <v>0</v>
      </c>
      <c r="DN145" s="294">
        <v>-1160</v>
      </c>
      <c r="DO145" s="294">
        <v>0</v>
      </c>
      <c r="DP145" s="294">
        <v>0</v>
      </c>
      <c r="DQ145" s="324">
        <v>-0.27999999999883585</v>
      </c>
      <c r="DR145" s="295">
        <v>1096046.29</v>
      </c>
      <c r="DS145" s="325">
        <v>308134.44999999995</v>
      </c>
      <c r="DT145" s="295">
        <v>578.53</v>
      </c>
      <c r="DU145" s="295">
        <v>51744.729999999996</v>
      </c>
      <c r="DV145" s="295">
        <v>0</v>
      </c>
      <c r="DW145" s="295">
        <v>-1160</v>
      </c>
    </row>
    <row r="146" spans="1:127">
      <c r="A146" s="321">
        <v>3380</v>
      </c>
      <c r="B146" s="322" t="s">
        <v>510</v>
      </c>
      <c r="C146" s="321">
        <v>3380</v>
      </c>
      <c r="D146" s="323" t="s">
        <v>817</v>
      </c>
      <c r="E146" s="323" t="s">
        <v>539</v>
      </c>
      <c r="F146" s="323" t="s">
        <v>818</v>
      </c>
      <c r="G146" s="323" t="s">
        <v>799</v>
      </c>
      <c r="H146" s="294">
        <v>1104507.55</v>
      </c>
      <c r="I146" s="294">
        <v>0</v>
      </c>
      <c r="J146" s="294">
        <v>69701.94</v>
      </c>
      <c r="K146" s="294">
        <v>0</v>
      </c>
      <c r="L146" s="294">
        <v>68390</v>
      </c>
      <c r="M146" s="294">
        <v>0</v>
      </c>
      <c r="N146" s="294">
        <v>0</v>
      </c>
      <c r="O146" s="294">
        <v>0</v>
      </c>
      <c r="P146" s="294">
        <v>34276.479999999989</v>
      </c>
      <c r="Q146" s="294">
        <v>29476.890000000003</v>
      </c>
      <c r="R146" s="294">
        <v>0</v>
      </c>
      <c r="S146" s="294">
        <v>0</v>
      </c>
      <c r="T146" s="294">
        <v>55018.18</v>
      </c>
      <c r="U146" s="294">
        <v>0</v>
      </c>
      <c r="V146" s="294">
        <v>0</v>
      </c>
      <c r="W146" s="294">
        <v>1180.83</v>
      </c>
      <c r="X146" s="294">
        <v>46781</v>
      </c>
      <c r="Y146" s="294">
        <v>1409332.8699999999</v>
      </c>
      <c r="Z146" s="294">
        <v>587519.89000000083</v>
      </c>
      <c r="AA146" s="294">
        <v>0</v>
      </c>
      <c r="AB146" s="294">
        <v>261232.55</v>
      </c>
      <c r="AC146" s="294">
        <v>51358.150000000198</v>
      </c>
      <c r="AD146" s="294">
        <v>97894</v>
      </c>
      <c r="AE146" s="294">
        <v>0</v>
      </c>
      <c r="AF146" s="294">
        <v>82922.370000000083</v>
      </c>
      <c r="AG146" s="294">
        <v>7740.0000000000036</v>
      </c>
      <c r="AH146" s="294">
        <v>200</v>
      </c>
      <c r="AI146" s="294">
        <v>0</v>
      </c>
      <c r="AJ146" s="294">
        <v>0</v>
      </c>
      <c r="AK146" s="294">
        <v>56980.94</v>
      </c>
      <c r="AL146" s="294">
        <v>3865</v>
      </c>
      <c r="AM146" s="294">
        <v>1954.11</v>
      </c>
      <c r="AN146" s="294">
        <v>9068.56</v>
      </c>
      <c r="AO146" s="294">
        <v>37200.930000000008</v>
      </c>
      <c r="AP146" s="294">
        <v>3338.98</v>
      </c>
      <c r="AQ146" s="294">
        <v>7316.25</v>
      </c>
      <c r="AR146" s="294">
        <v>135886.23000000001</v>
      </c>
      <c r="AS146" s="294">
        <v>21171.87</v>
      </c>
      <c r="AT146" s="294">
        <v>0</v>
      </c>
      <c r="AU146" s="294">
        <v>20373.559999999965</v>
      </c>
      <c r="AV146" s="294">
        <v>0</v>
      </c>
      <c r="AW146" s="294">
        <v>0</v>
      </c>
      <c r="AX146" s="294">
        <v>110097.70000000001</v>
      </c>
      <c r="AY146" s="294">
        <v>9035.41</v>
      </c>
      <c r="AZ146" s="294">
        <v>7449.49</v>
      </c>
      <c r="BA146" s="294">
        <v>38290.589999999997</v>
      </c>
      <c r="BB146" s="294">
        <v>0</v>
      </c>
      <c r="BC146" s="294">
        <v>0</v>
      </c>
      <c r="BD146" s="294">
        <v>0</v>
      </c>
      <c r="BE146" s="294">
        <v>1550896.5800000012</v>
      </c>
      <c r="BF146" s="294">
        <v>32697.650000000205</v>
      </c>
      <c r="BG146" s="294">
        <v>-141563.71000000136</v>
      </c>
      <c r="BH146" s="294">
        <v>-108866.06000000116</v>
      </c>
      <c r="BI146" s="294">
        <v>0</v>
      </c>
      <c r="BJ146" s="294">
        <v>0</v>
      </c>
      <c r="BK146" s="294">
        <v>0</v>
      </c>
      <c r="BL146" s="294">
        <v>0</v>
      </c>
      <c r="BM146" s="294">
        <v>0</v>
      </c>
      <c r="BN146" s="294">
        <v>0</v>
      </c>
      <c r="BO146" s="294">
        <v>0</v>
      </c>
      <c r="BP146" s="294">
        <v>0</v>
      </c>
      <c r="BQ146" s="294">
        <v>0</v>
      </c>
      <c r="BR146" s="294">
        <v>0</v>
      </c>
      <c r="BS146" s="294">
        <v>0</v>
      </c>
      <c r="BT146" s="294">
        <v>0</v>
      </c>
      <c r="BU146" s="294">
        <v>0</v>
      </c>
      <c r="BV146" s="294">
        <v>0</v>
      </c>
      <c r="BW146" s="294">
        <v>0</v>
      </c>
      <c r="BX146" s="294">
        <v>0</v>
      </c>
      <c r="BY146" s="294">
        <v>0</v>
      </c>
      <c r="BZ146" s="294">
        <v>0</v>
      </c>
      <c r="CA146" s="294">
        <v>0</v>
      </c>
      <c r="CB146" s="294">
        <v>0</v>
      </c>
      <c r="CC146" s="294">
        <v>0</v>
      </c>
      <c r="CD146" s="294">
        <v>-108866.06000000116</v>
      </c>
      <c r="CE146" s="294">
        <v>0</v>
      </c>
      <c r="CF146" s="294">
        <v>0</v>
      </c>
      <c r="CG146" s="294">
        <v>0</v>
      </c>
      <c r="CH146" s="294">
        <v>0</v>
      </c>
      <c r="CI146" s="294">
        <f t="shared" si="2"/>
        <v>-108866.06000000116</v>
      </c>
      <c r="CJ146" s="294">
        <v>0</v>
      </c>
      <c r="CK146" s="294">
        <v>0</v>
      </c>
      <c r="CL146" s="294">
        <v>0</v>
      </c>
      <c r="CM146" s="294">
        <v>0</v>
      </c>
      <c r="CN146" s="294">
        <v>0</v>
      </c>
      <c r="CO146" s="294">
        <v>0</v>
      </c>
      <c r="CP146" s="294">
        <v>0</v>
      </c>
      <c r="CQ146" s="294">
        <v>0</v>
      </c>
      <c r="CR146" s="294">
        <v>0</v>
      </c>
      <c r="CS146" s="294">
        <v>0</v>
      </c>
      <c r="CT146" s="294">
        <v>0</v>
      </c>
      <c r="CU146" s="294">
        <v>0</v>
      </c>
      <c r="CV146" s="294">
        <v>0</v>
      </c>
      <c r="CW146" s="294">
        <v>0</v>
      </c>
      <c r="CX146" s="294"/>
      <c r="CY146" s="294"/>
      <c r="CZ146" s="294"/>
      <c r="DA146" s="294">
        <v>-77301.940000001196</v>
      </c>
      <c r="DB146" s="294">
        <v>-77301.940000001196</v>
      </c>
      <c r="DC146" s="294">
        <v>0</v>
      </c>
      <c r="DD146" s="294">
        <v>1502.84</v>
      </c>
      <c r="DE146" s="294">
        <v>0</v>
      </c>
      <c r="DF146" s="294">
        <v>0</v>
      </c>
      <c r="DG146" s="294">
        <v>-2450</v>
      </c>
      <c r="DH146" s="294">
        <v>-30616.959999999999</v>
      </c>
      <c r="DI146" s="294">
        <v>0</v>
      </c>
      <c r="DJ146" s="294">
        <v>0</v>
      </c>
      <c r="DK146" s="294">
        <v>-31564.12</v>
      </c>
      <c r="DL146" s="294">
        <v>0</v>
      </c>
      <c r="DM146" s="294">
        <v>0</v>
      </c>
      <c r="DN146" s="294">
        <v>0</v>
      </c>
      <c r="DO146" s="294">
        <v>0</v>
      </c>
      <c r="DP146" s="294">
        <v>0</v>
      </c>
      <c r="DQ146" s="324">
        <v>1.1932570487260818E-9</v>
      </c>
      <c r="DR146" s="295">
        <v>1088666.9600000011</v>
      </c>
      <c r="DS146" s="325">
        <v>462229.62000000011</v>
      </c>
      <c r="DT146" s="295">
        <v>9035.41</v>
      </c>
      <c r="DU146" s="295">
        <v>118771.54999999999</v>
      </c>
      <c r="DV146" s="295">
        <v>0</v>
      </c>
      <c r="DW146" s="295">
        <v>0</v>
      </c>
    </row>
    <row r="147" spans="1:127">
      <c r="A147" s="321">
        <v>3335</v>
      </c>
      <c r="B147" s="322" t="s">
        <v>511</v>
      </c>
      <c r="C147" s="321">
        <v>3335</v>
      </c>
      <c r="D147" s="323" t="s">
        <v>817</v>
      </c>
      <c r="E147" s="323" t="s">
        <v>539</v>
      </c>
      <c r="F147" s="323" t="s">
        <v>818</v>
      </c>
      <c r="G147" s="323" t="s">
        <v>537</v>
      </c>
      <c r="H147" s="294">
        <v>1361886</v>
      </c>
      <c r="I147" s="294">
        <v>0</v>
      </c>
      <c r="J147" s="294">
        <v>95035.03</v>
      </c>
      <c r="K147" s="294">
        <v>0</v>
      </c>
      <c r="L147" s="294">
        <v>183520</v>
      </c>
      <c r="M147" s="294">
        <v>1056.93</v>
      </c>
      <c r="N147" s="294">
        <v>1800</v>
      </c>
      <c r="O147" s="294">
        <v>4770.1399999999994</v>
      </c>
      <c r="P147" s="294">
        <v>21313.43</v>
      </c>
      <c r="Q147" s="294">
        <v>1006.0099999999984</v>
      </c>
      <c r="R147" s="294">
        <v>0</v>
      </c>
      <c r="S147" s="294">
        <v>0</v>
      </c>
      <c r="T147" s="294">
        <v>8435.66</v>
      </c>
      <c r="U147" s="294">
        <v>12030.07</v>
      </c>
      <c r="V147" s="294">
        <v>0</v>
      </c>
      <c r="W147" s="294">
        <v>10142.92</v>
      </c>
      <c r="X147" s="294">
        <v>32461</v>
      </c>
      <c r="Y147" s="294">
        <v>1733457.1899999997</v>
      </c>
      <c r="Z147" s="294">
        <v>782520.70999999857</v>
      </c>
      <c r="AA147" s="294">
        <v>0</v>
      </c>
      <c r="AB147" s="294">
        <v>174725.18</v>
      </c>
      <c r="AC147" s="294">
        <v>48979.049999999639</v>
      </c>
      <c r="AD147" s="294">
        <v>135975.10999999999</v>
      </c>
      <c r="AE147" s="294">
        <v>0</v>
      </c>
      <c r="AF147" s="294">
        <v>17250.320000000036</v>
      </c>
      <c r="AG147" s="294">
        <v>-194.73000000000047</v>
      </c>
      <c r="AH147" s="294">
        <v>0</v>
      </c>
      <c r="AI147" s="294">
        <v>0</v>
      </c>
      <c r="AJ147" s="294">
        <v>0</v>
      </c>
      <c r="AK147" s="294">
        <v>18375.989999999998</v>
      </c>
      <c r="AL147" s="294">
        <v>7821.8</v>
      </c>
      <c r="AM147" s="294">
        <v>19205.510000000002</v>
      </c>
      <c r="AN147" s="294">
        <v>3814.66</v>
      </c>
      <c r="AO147" s="294">
        <v>28249.570000000007</v>
      </c>
      <c r="AP147" s="294">
        <v>5246.96</v>
      </c>
      <c r="AQ147" s="294">
        <v>32592.710000000003</v>
      </c>
      <c r="AR147" s="294">
        <v>84705.050000000047</v>
      </c>
      <c r="AS147" s="294">
        <v>691.13</v>
      </c>
      <c r="AT147" s="294">
        <v>0</v>
      </c>
      <c r="AU147" s="294">
        <v>30288.949999999993</v>
      </c>
      <c r="AV147" s="294">
        <v>5139.75</v>
      </c>
      <c r="AW147" s="294">
        <v>10230</v>
      </c>
      <c r="AX147" s="294">
        <v>109746.61000000002</v>
      </c>
      <c r="AY147" s="294">
        <v>82895.909999999989</v>
      </c>
      <c r="AZ147" s="294">
        <v>16724.120000000003</v>
      </c>
      <c r="BA147" s="294">
        <v>226594.95</v>
      </c>
      <c r="BB147" s="294">
        <v>2700</v>
      </c>
      <c r="BC147" s="294">
        <v>0</v>
      </c>
      <c r="BD147" s="294">
        <v>0</v>
      </c>
      <c r="BE147" s="294">
        <v>1844279.309999998</v>
      </c>
      <c r="BF147" s="294">
        <v>5400.4000000001761</v>
      </c>
      <c r="BG147" s="294">
        <v>-110822.11999999825</v>
      </c>
      <c r="BH147" s="294">
        <v>-105421.71999999808</v>
      </c>
      <c r="BI147" s="294">
        <v>0</v>
      </c>
      <c r="BJ147" s="294">
        <v>0</v>
      </c>
      <c r="BK147" s="294">
        <v>0</v>
      </c>
      <c r="BL147" s="294">
        <v>0</v>
      </c>
      <c r="BM147" s="294">
        <v>0</v>
      </c>
      <c r="BN147" s="294">
        <v>0</v>
      </c>
      <c r="BO147" s="294">
        <v>0</v>
      </c>
      <c r="BP147" s="294">
        <v>0</v>
      </c>
      <c r="BQ147" s="294">
        <v>0</v>
      </c>
      <c r="BR147" s="294">
        <v>0</v>
      </c>
      <c r="BS147" s="294">
        <v>0</v>
      </c>
      <c r="BT147" s="294">
        <v>0</v>
      </c>
      <c r="BU147" s="294">
        <v>0</v>
      </c>
      <c r="BV147" s="294">
        <v>0</v>
      </c>
      <c r="BW147" s="294">
        <v>0</v>
      </c>
      <c r="BX147" s="294">
        <v>0</v>
      </c>
      <c r="BY147" s="294">
        <v>0</v>
      </c>
      <c r="BZ147" s="294">
        <v>0</v>
      </c>
      <c r="CA147" s="294">
        <v>0</v>
      </c>
      <c r="CB147" s="294">
        <v>0</v>
      </c>
      <c r="CC147" s="294">
        <v>0</v>
      </c>
      <c r="CD147" s="294">
        <v>-105421.71999999808</v>
      </c>
      <c r="CE147" s="294">
        <v>0</v>
      </c>
      <c r="CF147" s="294">
        <v>0</v>
      </c>
      <c r="CG147" s="294">
        <v>0</v>
      </c>
      <c r="CH147" s="294">
        <v>0</v>
      </c>
      <c r="CI147" s="294">
        <f t="shared" si="2"/>
        <v>-105421.71999999808</v>
      </c>
      <c r="CJ147" s="294">
        <v>130271.46</v>
      </c>
      <c r="CK147" s="294">
        <v>0</v>
      </c>
      <c r="CL147" s="294">
        <v>0</v>
      </c>
      <c r="CM147" s="294">
        <v>130271.46</v>
      </c>
      <c r="CN147" s="294">
        <v>0</v>
      </c>
      <c r="CO147" s="294">
        <v>0</v>
      </c>
      <c r="CP147" s="294">
        <v>8561.19</v>
      </c>
      <c r="CQ147" s="294">
        <v>0</v>
      </c>
      <c r="CR147" s="294">
        <v>-230268.36000000002</v>
      </c>
      <c r="CS147" s="294">
        <v>-91435.710000000021</v>
      </c>
      <c r="CT147" s="294">
        <v>0</v>
      </c>
      <c r="CU147" s="294">
        <v>0</v>
      </c>
      <c r="CV147" s="294">
        <v>0</v>
      </c>
      <c r="CW147" s="294">
        <v>0</v>
      </c>
      <c r="CX147" s="294"/>
      <c r="CY147" s="294"/>
      <c r="CZ147" s="294"/>
      <c r="DA147" s="294">
        <v>0</v>
      </c>
      <c r="DB147" s="294">
        <v>0</v>
      </c>
      <c r="DC147" s="294">
        <v>35903.5</v>
      </c>
      <c r="DD147" s="294">
        <v>346.33</v>
      </c>
      <c r="DE147" s="294">
        <v>0</v>
      </c>
      <c r="DF147" s="294">
        <v>0</v>
      </c>
      <c r="DG147" s="294">
        <v>-21323.34</v>
      </c>
      <c r="DH147" s="294">
        <v>-28912.32</v>
      </c>
      <c r="DI147" s="294">
        <v>0</v>
      </c>
      <c r="DJ147" s="294">
        <v>0</v>
      </c>
      <c r="DK147" s="294">
        <v>-13985.829999999998</v>
      </c>
      <c r="DL147" s="294">
        <v>0</v>
      </c>
      <c r="DM147" s="294">
        <v>0</v>
      </c>
      <c r="DN147" s="294">
        <v>0</v>
      </c>
      <c r="DO147" s="294">
        <v>0</v>
      </c>
      <c r="DP147" s="294">
        <v>0</v>
      </c>
      <c r="DQ147" s="324">
        <v>-0.17999999997846317</v>
      </c>
      <c r="DR147" s="295">
        <v>1159255.639999998</v>
      </c>
      <c r="DS147" s="325">
        <v>685023.66999999993</v>
      </c>
      <c r="DT147" s="295">
        <v>82895.909999999989</v>
      </c>
      <c r="DU147" s="295">
        <v>35525.24</v>
      </c>
      <c r="DV147" s="295">
        <v>12030.07</v>
      </c>
      <c r="DW147" s="295">
        <v>0</v>
      </c>
    </row>
    <row r="148" spans="1:127">
      <c r="A148" s="321">
        <v>3329</v>
      </c>
      <c r="B148" s="322" t="s">
        <v>456</v>
      </c>
      <c r="C148" s="321">
        <v>3329</v>
      </c>
      <c r="D148" s="323" t="s">
        <v>817</v>
      </c>
      <c r="E148" s="323" t="s">
        <v>539</v>
      </c>
      <c r="F148" s="323" t="s">
        <v>818</v>
      </c>
      <c r="G148" s="323" t="s">
        <v>800</v>
      </c>
      <c r="H148" s="294">
        <v>1395185.99</v>
      </c>
      <c r="I148" s="294">
        <v>0</v>
      </c>
      <c r="J148" s="294">
        <v>109209.64</v>
      </c>
      <c r="K148" s="294">
        <v>0</v>
      </c>
      <c r="L148" s="294">
        <v>141690</v>
      </c>
      <c r="M148" s="294">
        <v>0</v>
      </c>
      <c r="N148" s="294">
        <v>0</v>
      </c>
      <c r="O148" s="294">
        <v>0</v>
      </c>
      <c r="P148" s="294">
        <v>16076.300000000008</v>
      </c>
      <c r="Q148" s="294">
        <v>0</v>
      </c>
      <c r="R148" s="294">
        <v>0</v>
      </c>
      <c r="S148" s="294">
        <v>0</v>
      </c>
      <c r="T148" s="294">
        <v>12561.95</v>
      </c>
      <c r="U148" s="294">
        <v>0</v>
      </c>
      <c r="V148" s="294">
        <v>0</v>
      </c>
      <c r="W148" s="294">
        <v>6772.5</v>
      </c>
      <c r="X148" s="294">
        <v>40754</v>
      </c>
      <c r="Y148" s="294">
        <v>1722250.38</v>
      </c>
      <c r="Z148" s="294">
        <v>670393.95000000019</v>
      </c>
      <c r="AA148" s="294">
        <v>5418.2000000000007</v>
      </c>
      <c r="AB148" s="294">
        <v>4522.7299999999996</v>
      </c>
      <c r="AC148" s="294">
        <v>351832.99000000081</v>
      </c>
      <c r="AD148" s="294">
        <v>3059.0600000000004</v>
      </c>
      <c r="AE148" s="294">
        <v>0</v>
      </c>
      <c r="AF148" s="294">
        <v>275931.6299999996</v>
      </c>
      <c r="AG148" s="294">
        <v>-1341.269999999995</v>
      </c>
      <c r="AH148" s="294">
        <v>6546</v>
      </c>
      <c r="AI148" s="294">
        <v>0</v>
      </c>
      <c r="AJ148" s="294">
        <v>0</v>
      </c>
      <c r="AK148" s="294">
        <v>18584.900000000001</v>
      </c>
      <c r="AL148" s="294">
        <v>1641.67</v>
      </c>
      <c r="AM148" s="294">
        <v>1869.3499999999997</v>
      </c>
      <c r="AN148" s="294">
        <v>2577.1999999999998</v>
      </c>
      <c r="AO148" s="294">
        <v>30946.47</v>
      </c>
      <c r="AP148" s="294">
        <v>3444.98</v>
      </c>
      <c r="AQ148" s="294">
        <v>6987.23</v>
      </c>
      <c r="AR148" s="294">
        <v>40111.01999999999</v>
      </c>
      <c r="AS148" s="294">
        <v>25187.120000000003</v>
      </c>
      <c r="AT148" s="294">
        <v>310.29999999999995</v>
      </c>
      <c r="AU148" s="294">
        <v>23807.000000000004</v>
      </c>
      <c r="AV148" s="294">
        <v>5139.75</v>
      </c>
      <c r="AW148" s="294">
        <v>0</v>
      </c>
      <c r="AX148" s="294">
        <v>110930.74</v>
      </c>
      <c r="AY148" s="294">
        <v>40791.57</v>
      </c>
      <c r="AZ148" s="294">
        <v>5214.5600000000004</v>
      </c>
      <c r="BA148" s="294">
        <v>101827.15999999999</v>
      </c>
      <c r="BB148" s="294">
        <v>0</v>
      </c>
      <c r="BC148" s="294">
        <v>0</v>
      </c>
      <c r="BD148" s="294">
        <v>0</v>
      </c>
      <c r="BE148" s="294">
        <v>1735734.3100000005</v>
      </c>
      <c r="BF148" s="294">
        <v>80397.540000000125</v>
      </c>
      <c r="BG148" s="294">
        <v>-13483.930000000633</v>
      </c>
      <c r="BH148" s="294">
        <v>66913.609999999491</v>
      </c>
      <c r="BI148" s="294">
        <v>0</v>
      </c>
      <c r="BJ148" s="294">
        <v>0</v>
      </c>
      <c r="BK148" s="294">
        <v>0</v>
      </c>
      <c r="BL148" s="294">
        <v>0</v>
      </c>
      <c r="BM148" s="294">
        <v>0</v>
      </c>
      <c r="BN148" s="294">
        <v>0</v>
      </c>
      <c r="BO148" s="294">
        <v>0</v>
      </c>
      <c r="BP148" s="294">
        <v>0</v>
      </c>
      <c r="BQ148" s="294">
        <v>0</v>
      </c>
      <c r="BR148" s="294">
        <v>0</v>
      </c>
      <c r="BS148" s="294">
        <v>0</v>
      </c>
      <c r="BT148" s="294">
        <v>0</v>
      </c>
      <c r="BU148" s="294">
        <v>0</v>
      </c>
      <c r="BV148" s="294">
        <v>0</v>
      </c>
      <c r="BW148" s="294">
        <v>0</v>
      </c>
      <c r="BX148" s="294">
        <v>0</v>
      </c>
      <c r="BY148" s="294">
        <v>0</v>
      </c>
      <c r="BZ148" s="294">
        <v>0</v>
      </c>
      <c r="CA148" s="294">
        <v>0</v>
      </c>
      <c r="CB148" s="294">
        <v>0</v>
      </c>
      <c r="CC148" s="294">
        <v>0</v>
      </c>
      <c r="CD148" s="294">
        <v>66913.609999999491</v>
      </c>
      <c r="CE148" s="294">
        <v>0</v>
      </c>
      <c r="CF148" s="294">
        <v>0</v>
      </c>
      <c r="CG148" s="294">
        <v>0</v>
      </c>
      <c r="CH148" s="294">
        <v>0</v>
      </c>
      <c r="CI148" s="294">
        <f t="shared" si="2"/>
        <v>66913.609999999491</v>
      </c>
      <c r="CJ148" s="294">
        <v>0</v>
      </c>
      <c r="CK148" s="294">
        <v>0</v>
      </c>
      <c r="CL148" s="294">
        <v>0</v>
      </c>
      <c r="CM148" s="294">
        <v>0</v>
      </c>
      <c r="CN148" s="294">
        <v>0</v>
      </c>
      <c r="CO148" s="294">
        <v>0</v>
      </c>
      <c r="CP148" s="294">
        <v>0</v>
      </c>
      <c r="CQ148" s="294">
        <v>0</v>
      </c>
      <c r="CR148" s="294">
        <v>0</v>
      </c>
      <c r="CS148" s="294">
        <v>0</v>
      </c>
      <c r="CT148" s="294">
        <v>0</v>
      </c>
      <c r="CU148" s="294">
        <v>0</v>
      </c>
      <c r="CV148" s="294">
        <v>0</v>
      </c>
      <c r="CW148" s="294">
        <v>0</v>
      </c>
      <c r="CX148" s="294"/>
      <c r="CY148" s="294"/>
      <c r="CZ148" s="294"/>
      <c r="DA148" s="294">
        <v>99154.489999999569</v>
      </c>
      <c r="DB148" s="294">
        <v>99154.489999999569</v>
      </c>
      <c r="DC148" s="294">
        <v>0</v>
      </c>
      <c r="DD148" s="294">
        <v>2688.35</v>
      </c>
      <c r="DE148" s="294">
        <v>0</v>
      </c>
      <c r="DF148" s="294">
        <v>0</v>
      </c>
      <c r="DG148" s="294">
        <v>-5924.64</v>
      </c>
      <c r="DH148" s="294">
        <v>-29004.59</v>
      </c>
      <c r="DI148" s="294">
        <v>0</v>
      </c>
      <c r="DJ148" s="294">
        <v>0</v>
      </c>
      <c r="DK148" s="294">
        <v>-32240.880000000001</v>
      </c>
      <c r="DL148" s="294">
        <v>0</v>
      </c>
      <c r="DM148" s="294">
        <v>0</v>
      </c>
      <c r="DN148" s="294">
        <v>0</v>
      </c>
      <c r="DO148" s="294">
        <v>0</v>
      </c>
      <c r="DP148" s="294">
        <v>0</v>
      </c>
      <c r="DQ148" s="324">
        <v>4.220055416226387E-10</v>
      </c>
      <c r="DR148" s="295">
        <v>1309817.2900000005</v>
      </c>
      <c r="DS148" s="325">
        <v>425917.02</v>
      </c>
      <c r="DT148" s="295">
        <v>40791.57</v>
      </c>
      <c r="DU148" s="295">
        <v>28638.250000000007</v>
      </c>
      <c r="DV148" s="295">
        <v>0</v>
      </c>
      <c r="DW148" s="295">
        <v>0</v>
      </c>
    </row>
    <row r="149" spans="1:127">
      <c r="A149" s="321">
        <v>2183</v>
      </c>
      <c r="B149" s="322" t="s">
        <v>457</v>
      </c>
      <c r="C149" s="321">
        <v>2183</v>
      </c>
      <c r="D149" s="323" t="s">
        <v>817</v>
      </c>
      <c r="E149" s="323" t="s">
        <v>539</v>
      </c>
      <c r="F149" s="323" t="s">
        <v>818</v>
      </c>
      <c r="G149" s="323" t="s">
        <v>537</v>
      </c>
      <c r="H149" s="294">
        <v>2329595.0099999998</v>
      </c>
      <c r="I149" s="294">
        <v>0</v>
      </c>
      <c r="J149" s="294">
        <v>177454.75</v>
      </c>
      <c r="K149" s="294">
        <v>0</v>
      </c>
      <c r="L149" s="294">
        <v>222000</v>
      </c>
      <c r="M149" s="294">
        <v>0</v>
      </c>
      <c r="N149" s="294">
        <v>0</v>
      </c>
      <c r="O149" s="294">
        <v>0</v>
      </c>
      <c r="P149" s="294">
        <v>61956.529999999984</v>
      </c>
      <c r="Q149" s="294">
        <v>31653.82</v>
      </c>
      <c r="R149" s="294">
        <v>0</v>
      </c>
      <c r="S149" s="294">
        <v>0</v>
      </c>
      <c r="T149" s="294">
        <v>5427.83</v>
      </c>
      <c r="U149" s="294">
        <v>0</v>
      </c>
      <c r="V149" s="294">
        <v>0</v>
      </c>
      <c r="W149" s="294">
        <v>3318.33</v>
      </c>
      <c r="X149" s="294">
        <v>54539</v>
      </c>
      <c r="Y149" s="294">
        <v>2885945.2699999996</v>
      </c>
      <c r="Z149" s="294">
        <v>1224831.3099999975</v>
      </c>
      <c r="AA149" s="294">
        <v>0</v>
      </c>
      <c r="AB149" s="294">
        <v>300710.37</v>
      </c>
      <c r="AC149" s="294">
        <v>92090.480000001495</v>
      </c>
      <c r="AD149" s="294">
        <v>267449.88</v>
      </c>
      <c r="AE149" s="294">
        <v>308.85000000000002</v>
      </c>
      <c r="AF149" s="294">
        <v>72726.229999999516</v>
      </c>
      <c r="AG149" s="294">
        <v>7183.6400000000176</v>
      </c>
      <c r="AH149" s="294">
        <v>7831.03</v>
      </c>
      <c r="AI149" s="294">
        <v>0</v>
      </c>
      <c r="AJ149" s="294">
        <v>0</v>
      </c>
      <c r="AK149" s="294">
        <v>26407.33</v>
      </c>
      <c r="AL149" s="294">
        <v>0</v>
      </c>
      <c r="AM149" s="294">
        <v>366.48999999999978</v>
      </c>
      <c r="AN149" s="294">
        <v>6045.6</v>
      </c>
      <c r="AO149" s="294">
        <v>45051.109999999979</v>
      </c>
      <c r="AP149" s="294">
        <v>37394.07</v>
      </c>
      <c r="AQ149" s="294">
        <v>18583.34</v>
      </c>
      <c r="AR149" s="294">
        <v>136924.08000000013</v>
      </c>
      <c r="AS149" s="294">
        <v>22560.17</v>
      </c>
      <c r="AT149" s="294">
        <v>0</v>
      </c>
      <c r="AU149" s="294">
        <v>2228.86</v>
      </c>
      <c r="AV149" s="294">
        <v>9471</v>
      </c>
      <c r="AW149" s="294">
        <v>3820</v>
      </c>
      <c r="AX149" s="294">
        <v>88002.85</v>
      </c>
      <c r="AY149" s="294">
        <v>165991.68999999994</v>
      </c>
      <c r="AZ149" s="294">
        <v>39423.5</v>
      </c>
      <c r="BA149" s="294">
        <v>145846.14000000001</v>
      </c>
      <c r="BB149" s="294">
        <v>0</v>
      </c>
      <c r="BC149" s="294">
        <v>0</v>
      </c>
      <c r="BD149" s="294">
        <v>0</v>
      </c>
      <c r="BE149" s="294">
        <v>2721248.0199999986</v>
      </c>
      <c r="BF149" s="294">
        <v>80479.270000000135</v>
      </c>
      <c r="BG149" s="294">
        <v>164697.25000000093</v>
      </c>
      <c r="BH149" s="294">
        <v>245176.52000000107</v>
      </c>
      <c r="BI149" s="294">
        <v>8207.5</v>
      </c>
      <c r="BJ149" s="294">
        <v>0</v>
      </c>
      <c r="BK149" s="294">
        <v>0</v>
      </c>
      <c r="BL149" s="294">
        <v>8207.5</v>
      </c>
      <c r="BM149" s="294">
        <v>0</v>
      </c>
      <c r="BN149" s="294">
        <v>8207.5</v>
      </c>
      <c r="BO149" s="294">
        <v>0</v>
      </c>
      <c r="BP149" s="294">
        <v>0</v>
      </c>
      <c r="BQ149" s="294">
        <v>8207.5</v>
      </c>
      <c r="BR149" s="294">
        <v>0</v>
      </c>
      <c r="BS149" s="294">
        <v>0</v>
      </c>
      <c r="BT149" s="294">
        <v>0</v>
      </c>
      <c r="BU149" s="294">
        <v>0</v>
      </c>
      <c r="BV149" s="294">
        <v>0</v>
      </c>
      <c r="BW149" s="294">
        <v>0</v>
      </c>
      <c r="BX149" s="294">
        <v>0</v>
      </c>
      <c r="BY149" s="294">
        <v>0</v>
      </c>
      <c r="BZ149" s="294">
        <v>0</v>
      </c>
      <c r="CA149" s="294">
        <v>0</v>
      </c>
      <c r="CB149" s="294">
        <v>0</v>
      </c>
      <c r="CC149" s="294">
        <v>0</v>
      </c>
      <c r="CD149" s="294">
        <v>245176.52000000107</v>
      </c>
      <c r="CE149" s="294">
        <v>0</v>
      </c>
      <c r="CF149" s="294">
        <v>0</v>
      </c>
      <c r="CG149" s="294">
        <v>0</v>
      </c>
      <c r="CH149" s="294">
        <v>0</v>
      </c>
      <c r="CI149" s="294">
        <f t="shared" si="2"/>
        <v>245176.52000000107</v>
      </c>
      <c r="CJ149" s="294">
        <v>465882.7</v>
      </c>
      <c r="CK149" s="294">
        <v>0</v>
      </c>
      <c r="CL149" s="294">
        <v>0</v>
      </c>
      <c r="CM149" s="294">
        <v>465882.7</v>
      </c>
      <c r="CN149" s="294">
        <v>0</v>
      </c>
      <c r="CO149" s="294">
        <v>0</v>
      </c>
      <c r="CP149" s="294">
        <v>7892.93</v>
      </c>
      <c r="CQ149" s="294">
        <v>0</v>
      </c>
      <c r="CR149" s="294">
        <v>-183961.12</v>
      </c>
      <c r="CS149" s="294">
        <v>289814.51</v>
      </c>
      <c r="CT149" s="294">
        <v>0</v>
      </c>
      <c r="CU149" s="294">
        <v>0</v>
      </c>
      <c r="CV149" s="294">
        <v>0</v>
      </c>
      <c r="CW149" s="294">
        <v>0</v>
      </c>
      <c r="CX149" s="294"/>
      <c r="CY149" s="294"/>
      <c r="CZ149" s="294"/>
      <c r="DA149" s="294">
        <v>0</v>
      </c>
      <c r="DB149" s="294">
        <v>0</v>
      </c>
      <c r="DC149" s="294">
        <v>0</v>
      </c>
      <c r="DD149" s="294">
        <v>1867.12</v>
      </c>
      <c r="DE149" s="294">
        <v>0</v>
      </c>
      <c r="DF149" s="294">
        <v>0</v>
      </c>
      <c r="DG149" s="294">
        <v>-12101.22</v>
      </c>
      <c r="DH149" s="294">
        <v>-34403.9</v>
      </c>
      <c r="DI149" s="294">
        <v>0</v>
      </c>
      <c r="DJ149" s="294">
        <v>0</v>
      </c>
      <c r="DK149" s="294">
        <v>-44638</v>
      </c>
      <c r="DL149" s="294">
        <v>0</v>
      </c>
      <c r="DM149" s="294">
        <v>0</v>
      </c>
      <c r="DN149" s="294">
        <v>0</v>
      </c>
      <c r="DO149" s="294">
        <v>0</v>
      </c>
      <c r="DP149" s="294">
        <v>0</v>
      </c>
      <c r="DQ149" s="324">
        <v>9.9999999511055648E-3</v>
      </c>
      <c r="DR149" s="295">
        <v>1965300.7599999984</v>
      </c>
      <c r="DS149" s="325">
        <v>755947.26000000024</v>
      </c>
      <c r="DT149" s="295">
        <v>165991.68999999994</v>
      </c>
      <c r="DU149" s="295">
        <v>99038.179999999978</v>
      </c>
      <c r="DV149" s="295">
        <v>0</v>
      </c>
      <c r="DW149" s="295">
        <v>0</v>
      </c>
    </row>
    <row r="150" spans="1:127">
      <c r="A150" s="321">
        <v>3372</v>
      </c>
      <c r="B150" s="322" t="s">
        <v>512</v>
      </c>
      <c r="C150" s="321">
        <v>3372</v>
      </c>
      <c r="D150" s="323" t="s">
        <v>817</v>
      </c>
      <c r="E150" s="323" t="s">
        <v>539</v>
      </c>
      <c r="F150" s="323" t="s">
        <v>818</v>
      </c>
      <c r="G150" s="323" t="s">
        <v>537</v>
      </c>
      <c r="H150" s="294">
        <v>3460206.83</v>
      </c>
      <c r="I150" s="294">
        <v>0</v>
      </c>
      <c r="J150" s="294">
        <v>132931.54</v>
      </c>
      <c r="K150" s="294">
        <v>0</v>
      </c>
      <c r="L150" s="294">
        <v>396600</v>
      </c>
      <c r="M150" s="294">
        <v>4599.5</v>
      </c>
      <c r="N150" s="294">
        <v>0</v>
      </c>
      <c r="O150" s="294">
        <v>0</v>
      </c>
      <c r="P150" s="294">
        <v>8795.7100000000482</v>
      </c>
      <c r="Q150" s="294">
        <v>38269.550000000003</v>
      </c>
      <c r="R150" s="294">
        <v>0</v>
      </c>
      <c r="S150" s="294">
        <v>0</v>
      </c>
      <c r="T150" s="294">
        <v>34433.79</v>
      </c>
      <c r="U150" s="294">
        <v>390469.54</v>
      </c>
      <c r="V150" s="294">
        <v>0</v>
      </c>
      <c r="W150" s="294">
        <v>6536.25</v>
      </c>
      <c r="X150" s="294">
        <v>87358</v>
      </c>
      <c r="Y150" s="294">
        <v>4560200.71</v>
      </c>
      <c r="Z150" s="294">
        <v>2105017.6600000043</v>
      </c>
      <c r="AA150" s="294">
        <v>0</v>
      </c>
      <c r="AB150" s="294">
        <v>621972.35000000009</v>
      </c>
      <c r="AC150" s="294">
        <v>-2.0954757928848267E-9</v>
      </c>
      <c r="AD150" s="294">
        <v>363359.94</v>
      </c>
      <c r="AE150" s="294">
        <v>0</v>
      </c>
      <c r="AF150" s="294">
        <v>118439.90999999852</v>
      </c>
      <c r="AG150" s="294">
        <v>7374.5300000000043</v>
      </c>
      <c r="AH150" s="294">
        <v>23695.699999999997</v>
      </c>
      <c r="AI150" s="294">
        <v>0</v>
      </c>
      <c r="AJ150" s="294">
        <v>0</v>
      </c>
      <c r="AK150" s="294">
        <v>21265.579999999998</v>
      </c>
      <c r="AL150" s="294">
        <v>0</v>
      </c>
      <c r="AM150" s="294">
        <v>52889.04</v>
      </c>
      <c r="AN150" s="294">
        <v>6911.54</v>
      </c>
      <c r="AO150" s="294">
        <v>60845.159999999989</v>
      </c>
      <c r="AP150" s="294">
        <v>5776.96</v>
      </c>
      <c r="AQ150" s="294">
        <v>10177.709999999999</v>
      </c>
      <c r="AR150" s="294">
        <v>206255.8800000003</v>
      </c>
      <c r="AS150" s="294">
        <v>17547.75</v>
      </c>
      <c r="AT150" s="294">
        <v>0</v>
      </c>
      <c r="AU150" s="294">
        <v>27857.549999999981</v>
      </c>
      <c r="AV150" s="294">
        <v>16339.7</v>
      </c>
      <c r="AW150" s="294">
        <v>0</v>
      </c>
      <c r="AX150" s="294">
        <v>245490.35</v>
      </c>
      <c r="AY150" s="294">
        <v>214218.8</v>
      </c>
      <c r="AZ150" s="294">
        <v>51103.229999999996</v>
      </c>
      <c r="BA150" s="294">
        <v>124198.45999999999</v>
      </c>
      <c r="BB150" s="294">
        <v>0</v>
      </c>
      <c r="BC150" s="294">
        <v>0</v>
      </c>
      <c r="BD150" s="294">
        <v>0</v>
      </c>
      <c r="BE150" s="294">
        <v>4300737.8000000017</v>
      </c>
      <c r="BF150" s="294">
        <v>213584.18999999971</v>
      </c>
      <c r="BG150" s="294">
        <v>259462.90999999829</v>
      </c>
      <c r="BH150" s="294">
        <v>473047.099999998</v>
      </c>
      <c r="BI150" s="294">
        <v>0</v>
      </c>
      <c r="BJ150" s="294">
        <v>0</v>
      </c>
      <c r="BK150" s="294">
        <v>0</v>
      </c>
      <c r="BL150" s="294">
        <v>0</v>
      </c>
      <c r="BM150" s="294">
        <v>0</v>
      </c>
      <c r="BN150" s="294">
        <v>0</v>
      </c>
      <c r="BO150" s="294">
        <v>0</v>
      </c>
      <c r="BP150" s="294">
        <v>0</v>
      </c>
      <c r="BQ150" s="294">
        <v>0</v>
      </c>
      <c r="BR150" s="294">
        <v>0</v>
      </c>
      <c r="BS150" s="294">
        <v>0</v>
      </c>
      <c r="BT150" s="294">
        <v>0</v>
      </c>
      <c r="BU150" s="294">
        <v>0</v>
      </c>
      <c r="BV150" s="294">
        <v>0</v>
      </c>
      <c r="BW150" s="294">
        <v>0</v>
      </c>
      <c r="BX150" s="294">
        <v>0</v>
      </c>
      <c r="BY150" s="294">
        <v>0</v>
      </c>
      <c r="BZ150" s="294">
        <v>0</v>
      </c>
      <c r="CA150" s="294">
        <v>0</v>
      </c>
      <c r="CB150" s="294">
        <v>0</v>
      </c>
      <c r="CC150" s="294">
        <v>0</v>
      </c>
      <c r="CD150" s="294">
        <v>473047.099999998</v>
      </c>
      <c r="CE150" s="294">
        <v>0</v>
      </c>
      <c r="CF150" s="294">
        <v>0</v>
      </c>
      <c r="CG150" s="294">
        <v>0</v>
      </c>
      <c r="CH150" s="294">
        <v>0</v>
      </c>
      <c r="CI150" s="294">
        <f t="shared" si="2"/>
        <v>473047.099999998</v>
      </c>
      <c r="CJ150" s="294">
        <v>835373.22</v>
      </c>
      <c r="CK150" s="294">
        <v>7677.96</v>
      </c>
      <c r="CL150" s="294">
        <v>0</v>
      </c>
      <c r="CM150" s="294">
        <v>827695.26</v>
      </c>
      <c r="CN150" s="294">
        <v>0</v>
      </c>
      <c r="CO150" s="294">
        <v>0</v>
      </c>
      <c r="CP150" s="294">
        <v>5003.62</v>
      </c>
      <c r="CQ150" s="294">
        <v>0</v>
      </c>
      <c r="CR150" s="294">
        <v>-264663.73</v>
      </c>
      <c r="CS150" s="294">
        <v>568035.15</v>
      </c>
      <c r="CT150" s="294">
        <v>0</v>
      </c>
      <c r="CU150" s="294">
        <v>0</v>
      </c>
      <c r="CV150" s="294">
        <v>0</v>
      </c>
      <c r="CW150" s="294">
        <v>0</v>
      </c>
      <c r="CX150" s="294"/>
      <c r="CY150" s="294"/>
      <c r="CZ150" s="294"/>
      <c r="DA150" s="294">
        <v>0</v>
      </c>
      <c r="DB150" s="294">
        <v>0</v>
      </c>
      <c r="DC150" s="294">
        <v>0</v>
      </c>
      <c r="DD150" s="294">
        <v>8253.94</v>
      </c>
      <c r="DE150" s="294">
        <v>0</v>
      </c>
      <c r="DF150" s="294">
        <v>0</v>
      </c>
      <c r="DG150" s="294">
        <v>-41181</v>
      </c>
      <c r="DH150" s="294">
        <v>-62060.73</v>
      </c>
      <c r="DI150" s="294">
        <v>0</v>
      </c>
      <c r="DJ150" s="294">
        <v>0</v>
      </c>
      <c r="DK150" s="294">
        <v>-94987.790000000008</v>
      </c>
      <c r="DL150" s="294">
        <v>0</v>
      </c>
      <c r="DM150" s="294">
        <v>0</v>
      </c>
      <c r="DN150" s="294">
        <v>0</v>
      </c>
      <c r="DO150" s="294">
        <v>0</v>
      </c>
      <c r="DP150" s="294">
        <v>0</v>
      </c>
      <c r="DQ150" s="324">
        <v>-0.26000000012572855</v>
      </c>
      <c r="DR150" s="295">
        <v>3216164.3900000011</v>
      </c>
      <c r="DS150" s="325">
        <v>1084573.4100000006</v>
      </c>
      <c r="DT150" s="295">
        <v>214218.8</v>
      </c>
      <c r="DU150" s="295">
        <v>81499.050000000047</v>
      </c>
      <c r="DV150" s="295">
        <v>390469.54</v>
      </c>
      <c r="DW150" s="295">
        <v>0</v>
      </c>
    </row>
    <row r="151" spans="1:127">
      <c r="A151" s="321">
        <v>3375</v>
      </c>
      <c r="B151" s="322" t="s">
        <v>390</v>
      </c>
      <c r="C151" s="321">
        <v>3375</v>
      </c>
      <c r="D151" s="323" t="s">
        <v>817</v>
      </c>
      <c r="E151" s="323" t="s">
        <v>539</v>
      </c>
      <c r="F151" s="323" t="s">
        <v>818</v>
      </c>
      <c r="G151" s="323" t="s">
        <v>537</v>
      </c>
      <c r="H151" s="294">
        <v>2547469.7000000002</v>
      </c>
      <c r="I151" s="294">
        <v>0</v>
      </c>
      <c r="J151" s="294">
        <v>0</v>
      </c>
      <c r="K151" s="294">
        <v>0</v>
      </c>
      <c r="L151" s="294">
        <v>0</v>
      </c>
      <c r="M151" s="294">
        <v>0</v>
      </c>
      <c r="N151" s="294">
        <v>23689.59</v>
      </c>
      <c r="O151" s="294">
        <v>0</v>
      </c>
      <c r="P151" s="294">
        <v>123205</v>
      </c>
      <c r="Q151" s="294">
        <v>137023.19</v>
      </c>
      <c r="R151" s="294">
        <v>0</v>
      </c>
      <c r="S151" s="294">
        <v>0</v>
      </c>
      <c r="T151" s="294">
        <v>19596.64</v>
      </c>
      <c r="U151" s="294">
        <v>0</v>
      </c>
      <c r="V151" s="294">
        <v>0</v>
      </c>
      <c r="W151" s="294">
        <v>0</v>
      </c>
      <c r="X151" s="294">
        <v>0</v>
      </c>
      <c r="Y151" s="294">
        <v>2850984.12</v>
      </c>
      <c r="Z151" s="294">
        <v>1419557.81</v>
      </c>
      <c r="AA151" s="294">
        <v>0</v>
      </c>
      <c r="AB151" s="294">
        <v>427281.42</v>
      </c>
      <c r="AC151" s="294">
        <v>82179.520000000004</v>
      </c>
      <c r="AD151" s="294">
        <v>98503.33</v>
      </c>
      <c r="AE151" s="294">
        <v>0</v>
      </c>
      <c r="AF151" s="294">
        <v>67669.94</v>
      </c>
      <c r="AG151" s="294">
        <v>611</v>
      </c>
      <c r="AH151" s="294">
        <v>1550</v>
      </c>
      <c r="AI151" s="294">
        <v>2202</v>
      </c>
      <c r="AJ151" s="294">
        <v>0</v>
      </c>
      <c r="AK151" s="294">
        <v>48238.39</v>
      </c>
      <c r="AL151" s="294">
        <v>24891.35</v>
      </c>
      <c r="AM151" s="294">
        <v>1715.53</v>
      </c>
      <c r="AN151" s="294">
        <v>5487.07</v>
      </c>
      <c r="AO151" s="294">
        <v>35190.910000000003</v>
      </c>
      <c r="AP151" s="294">
        <v>3789.47</v>
      </c>
      <c r="AQ151" s="294">
        <v>13338.05</v>
      </c>
      <c r="AR151" s="294">
        <v>100376.5</v>
      </c>
      <c r="AS151" s="294">
        <v>0</v>
      </c>
      <c r="AT151" s="294">
        <v>0</v>
      </c>
      <c r="AU151" s="294">
        <v>45240.189999999995</v>
      </c>
      <c r="AV151" s="294">
        <v>15576.35</v>
      </c>
      <c r="AW151" s="294">
        <v>0</v>
      </c>
      <c r="AX151" s="294">
        <v>213384.93</v>
      </c>
      <c r="AY151" s="294">
        <v>59447.73</v>
      </c>
      <c r="AZ151" s="294">
        <v>13039.12</v>
      </c>
      <c r="BA151" s="294">
        <v>108669.33</v>
      </c>
      <c r="BB151" s="294">
        <v>0</v>
      </c>
      <c r="BC151" s="294">
        <v>0</v>
      </c>
      <c r="BD151" s="294">
        <v>0</v>
      </c>
      <c r="BE151" s="294">
        <v>2787939.9400000004</v>
      </c>
      <c r="BF151" s="294">
        <v>336398.80000000016</v>
      </c>
      <c r="BG151" s="294">
        <v>63044.179999999702</v>
      </c>
      <c r="BH151" s="294">
        <v>399442.97999999986</v>
      </c>
      <c r="BI151" s="294">
        <v>0</v>
      </c>
      <c r="BJ151" s="294">
        <v>0</v>
      </c>
      <c r="BK151" s="294">
        <v>0</v>
      </c>
      <c r="BL151" s="294">
        <v>0</v>
      </c>
      <c r="BM151" s="294">
        <v>0</v>
      </c>
      <c r="BN151" s="294">
        <v>0</v>
      </c>
      <c r="BO151" s="294">
        <v>0</v>
      </c>
      <c r="BP151" s="294">
        <v>0</v>
      </c>
      <c r="BQ151" s="294">
        <v>0</v>
      </c>
      <c r="BR151" s="294">
        <v>0</v>
      </c>
      <c r="BS151" s="294">
        <v>0</v>
      </c>
      <c r="BT151" s="294">
        <v>0</v>
      </c>
      <c r="BU151" s="294">
        <v>0</v>
      </c>
      <c r="BV151" s="294">
        <v>0</v>
      </c>
      <c r="BW151" s="294">
        <v>0</v>
      </c>
      <c r="BX151" s="294">
        <v>0</v>
      </c>
      <c r="BY151" s="294">
        <v>0</v>
      </c>
      <c r="BZ151" s="294">
        <v>0</v>
      </c>
      <c r="CA151" s="294">
        <v>0</v>
      </c>
      <c r="CB151" s="294">
        <v>0</v>
      </c>
      <c r="CC151" s="294">
        <v>0</v>
      </c>
      <c r="CD151" s="294">
        <v>399442.97999999986</v>
      </c>
      <c r="CE151" s="294">
        <v>0</v>
      </c>
      <c r="CF151" s="294">
        <v>0</v>
      </c>
      <c r="CG151" s="294">
        <v>0</v>
      </c>
      <c r="CH151" s="294">
        <v>0</v>
      </c>
      <c r="CI151" s="294">
        <v>399442.97999999986</v>
      </c>
      <c r="CJ151" s="294">
        <v>722546.86</v>
      </c>
      <c r="CK151" s="294">
        <v>375926.61</v>
      </c>
      <c r="CL151" s="294">
        <v>0</v>
      </c>
      <c r="CM151" s="294">
        <v>346620.25</v>
      </c>
      <c r="CN151" s="294">
        <v>0</v>
      </c>
      <c r="CO151" s="294">
        <v>0</v>
      </c>
      <c r="CP151" s="294">
        <v>7758.25</v>
      </c>
      <c r="CQ151" s="294">
        <v>0</v>
      </c>
      <c r="CR151" s="294">
        <v>0</v>
      </c>
      <c r="CS151" s="294">
        <v>354378.5</v>
      </c>
      <c r="CT151" s="294">
        <v>0</v>
      </c>
      <c r="CU151" s="294">
        <v>0</v>
      </c>
      <c r="CV151" s="294">
        <v>0</v>
      </c>
      <c r="CW151" s="294">
        <v>0</v>
      </c>
      <c r="CX151" s="294"/>
      <c r="CY151" s="294"/>
      <c r="CZ151" s="294"/>
      <c r="DA151" s="294">
        <v>0</v>
      </c>
      <c r="DB151" s="294">
        <v>0</v>
      </c>
      <c r="DC151" s="294">
        <v>0</v>
      </c>
      <c r="DD151" s="294">
        <v>116774.75999999998</v>
      </c>
      <c r="DE151" s="294">
        <v>0</v>
      </c>
      <c r="DF151" s="294">
        <v>0</v>
      </c>
      <c r="DG151" s="294">
        <v>-28018.83</v>
      </c>
      <c r="DH151" s="294">
        <v>-43691.58</v>
      </c>
      <c r="DI151" s="294">
        <v>0</v>
      </c>
      <c r="DJ151" s="294">
        <v>0</v>
      </c>
      <c r="DK151" s="294">
        <v>45064.349999999977</v>
      </c>
      <c r="DL151" s="294">
        <v>0</v>
      </c>
      <c r="DM151" s="294">
        <v>0</v>
      </c>
      <c r="DN151" s="294">
        <v>0</v>
      </c>
      <c r="DO151" s="294">
        <v>0</v>
      </c>
      <c r="DP151" s="294">
        <v>0</v>
      </c>
      <c r="DQ151" s="324">
        <v>0.13000000000465661</v>
      </c>
      <c r="DR151" s="295">
        <v>2095803.02</v>
      </c>
      <c r="DS151" s="325">
        <v>692136.92000000039</v>
      </c>
      <c r="DT151" s="295">
        <v>59447.73</v>
      </c>
      <c r="DU151" s="295">
        <v>279824.83</v>
      </c>
      <c r="DV151" s="295">
        <v>0</v>
      </c>
      <c r="DW151" s="295">
        <v>0</v>
      </c>
    </row>
    <row r="152" spans="1:127">
      <c r="A152" s="321">
        <v>3331</v>
      </c>
      <c r="B152" s="322" t="s">
        <v>458</v>
      </c>
      <c r="C152" s="321">
        <v>3331</v>
      </c>
      <c r="D152" s="323" t="s">
        <v>817</v>
      </c>
      <c r="E152" s="323" t="s">
        <v>539</v>
      </c>
      <c r="F152" s="323" t="s">
        <v>818</v>
      </c>
      <c r="G152" s="323" t="s">
        <v>537</v>
      </c>
      <c r="H152" s="294">
        <v>1434504.64</v>
      </c>
      <c r="I152" s="294">
        <v>0</v>
      </c>
      <c r="J152" s="294">
        <v>29199.38</v>
      </c>
      <c r="K152" s="294">
        <v>0</v>
      </c>
      <c r="L152" s="294">
        <v>111000</v>
      </c>
      <c r="M152" s="294">
        <v>4656.93</v>
      </c>
      <c r="N152" s="294">
        <v>0</v>
      </c>
      <c r="O152" s="294">
        <v>0</v>
      </c>
      <c r="P152" s="294">
        <v>28836.770000000008</v>
      </c>
      <c r="Q152" s="294">
        <v>18709.64</v>
      </c>
      <c r="R152" s="294">
        <v>0</v>
      </c>
      <c r="S152" s="294">
        <v>0</v>
      </c>
      <c r="T152" s="294">
        <v>7413.74</v>
      </c>
      <c r="U152" s="294">
        <v>0</v>
      </c>
      <c r="V152" s="294">
        <v>0</v>
      </c>
      <c r="W152" s="294">
        <v>3118.71</v>
      </c>
      <c r="X152" s="294">
        <v>45601</v>
      </c>
      <c r="Y152" s="294">
        <v>1683040.8099999996</v>
      </c>
      <c r="Z152" s="294">
        <v>782916.99999999988</v>
      </c>
      <c r="AA152" s="294">
        <v>0</v>
      </c>
      <c r="AB152" s="294">
        <v>251027.48</v>
      </c>
      <c r="AC152" s="294">
        <v>53207.380000000237</v>
      </c>
      <c r="AD152" s="294">
        <v>92377.29</v>
      </c>
      <c r="AE152" s="294">
        <v>0</v>
      </c>
      <c r="AF152" s="294">
        <v>55904.049999999974</v>
      </c>
      <c r="AG152" s="294">
        <v>-568.2599999999984</v>
      </c>
      <c r="AH152" s="294">
        <v>12495.349999999999</v>
      </c>
      <c r="AI152" s="294">
        <v>0</v>
      </c>
      <c r="AJ152" s="294">
        <v>0</v>
      </c>
      <c r="AK152" s="294">
        <v>19167.84</v>
      </c>
      <c r="AL152" s="294">
        <v>293.70999999999998</v>
      </c>
      <c r="AM152" s="294">
        <v>956.44</v>
      </c>
      <c r="AN152" s="294">
        <v>2988.67</v>
      </c>
      <c r="AO152" s="294">
        <v>22665.47</v>
      </c>
      <c r="AP152" s="294">
        <v>8213.56</v>
      </c>
      <c r="AQ152" s="294">
        <v>4745.38</v>
      </c>
      <c r="AR152" s="294">
        <v>57233.580000000016</v>
      </c>
      <c r="AS152" s="294">
        <v>0</v>
      </c>
      <c r="AT152" s="294">
        <v>0</v>
      </c>
      <c r="AU152" s="294">
        <v>8735.08</v>
      </c>
      <c r="AV152" s="294">
        <v>0</v>
      </c>
      <c r="AW152" s="294">
        <v>6095</v>
      </c>
      <c r="AX152" s="294">
        <v>118593.44</v>
      </c>
      <c r="AY152" s="294">
        <v>11609.67</v>
      </c>
      <c r="AZ152" s="294">
        <v>11178.62</v>
      </c>
      <c r="BA152" s="294">
        <v>109848.48</v>
      </c>
      <c r="BB152" s="294">
        <v>0</v>
      </c>
      <c r="BC152" s="294">
        <v>0</v>
      </c>
      <c r="BD152" s="294">
        <v>0</v>
      </c>
      <c r="BE152" s="294">
        <v>1629685.2300000002</v>
      </c>
      <c r="BF152" s="294">
        <v>25482.689999999944</v>
      </c>
      <c r="BG152" s="294">
        <v>53355.579999999376</v>
      </c>
      <c r="BH152" s="294">
        <v>78838.26999999932</v>
      </c>
      <c r="BI152" s="294">
        <v>0</v>
      </c>
      <c r="BJ152" s="294">
        <v>0</v>
      </c>
      <c r="BK152" s="294">
        <v>0</v>
      </c>
      <c r="BL152" s="294">
        <v>0</v>
      </c>
      <c r="BM152" s="294">
        <v>0</v>
      </c>
      <c r="BN152" s="294">
        <v>0</v>
      </c>
      <c r="BO152" s="294">
        <v>0</v>
      </c>
      <c r="BP152" s="294">
        <v>0</v>
      </c>
      <c r="BQ152" s="294">
        <v>0</v>
      </c>
      <c r="BR152" s="294">
        <v>0</v>
      </c>
      <c r="BS152" s="294">
        <v>0</v>
      </c>
      <c r="BT152" s="294">
        <v>0</v>
      </c>
      <c r="BU152" s="294">
        <v>0</v>
      </c>
      <c r="BV152" s="294">
        <v>0</v>
      </c>
      <c r="BW152" s="294">
        <v>0</v>
      </c>
      <c r="BX152" s="294">
        <v>0</v>
      </c>
      <c r="BY152" s="294">
        <v>0</v>
      </c>
      <c r="BZ152" s="294">
        <v>0</v>
      </c>
      <c r="CA152" s="294">
        <v>0</v>
      </c>
      <c r="CB152" s="294">
        <v>0</v>
      </c>
      <c r="CC152" s="294">
        <v>0</v>
      </c>
      <c r="CD152" s="294">
        <v>78838.26999999932</v>
      </c>
      <c r="CE152" s="294">
        <v>0</v>
      </c>
      <c r="CF152" s="294">
        <v>0</v>
      </c>
      <c r="CG152" s="294">
        <v>0</v>
      </c>
      <c r="CH152" s="294">
        <v>0</v>
      </c>
      <c r="CI152" s="294">
        <f t="shared" si="2"/>
        <v>78838.26999999932</v>
      </c>
      <c r="CJ152" s="294">
        <v>132957.19</v>
      </c>
      <c r="CK152" s="294">
        <v>0</v>
      </c>
      <c r="CL152" s="294">
        <v>0</v>
      </c>
      <c r="CM152" s="294">
        <v>132957.19</v>
      </c>
      <c r="CN152" s="294">
        <v>0</v>
      </c>
      <c r="CO152" s="294">
        <v>0</v>
      </c>
      <c r="CP152" s="294">
        <v>2805.81</v>
      </c>
      <c r="CQ152" s="294">
        <v>1007.67</v>
      </c>
      <c r="CR152" s="294">
        <v>-27336.070000000007</v>
      </c>
      <c r="CS152" s="294">
        <v>109434.6</v>
      </c>
      <c r="CT152" s="294">
        <v>0</v>
      </c>
      <c r="CU152" s="294">
        <v>0</v>
      </c>
      <c r="CV152" s="294">
        <v>0</v>
      </c>
      <c r="CW152" s="294">
        <v>0</v>
      </c>
      <c r="CX152" s="294"/>
      <c r="CY152" s="294"/>
      <c r="CZ152" s="294"/>
      <c r="DA152" s="294">
        <v>0</v>
      </c>
      <c r="DB152" s="294">
        <v>0</v>
      </c>
      <c r="DC152" s="294">
        <v>0</v>
      </c>
      <c r="DD152" s="294">
        <v>1095.6600000000001</v>
      </c>
      <c r="DE152" s="294">
        <v>0</v>
      </c>
      <c r="DF152" s="294">
        <v>0</v>
      </c>
      <c r="DG152" s="294">
        <v>0</v>
      </c>
      <c r="DH152" s="294">
        <v>-31691.99</v>
      </c>
      <c r="DI152" s="294">
        <v>0</v>
      </c>
      <c r="DJ152" s="294">
        <v>0</v>
      </c>
      <c r="DK152" s="294">
        <v>-30596.33</v>
      </c>
      <c r="DL152" s="294">
        <v>0</v>
      </c>
      <c r="DM152" s="294">
        <v>0</v>
      </c>
      <c r="DN152" s="294">
        <v>0</v>
      </c>
      <c r="DO152" s="294">
        <v>0</v>
      </c>
      <c r="DP152" s="294">
        <v>0</v>
      </c>
      <c r="DQ152" s="324">
        <v>0</v>
      </c>
      <c r="DR152" s="295">
        <v>1234864.9400000002</v>
      </c>
      <c r="DS152" s="325">
        <v>394820.29000000004</v>
      </c>
      <c r="DT152" s="295">
        <v>11609.67</v>
      </c>
      <c r="DU152" s="295">
        <v>54960.15</v>
      </c>
      <c r="DV152" s="295">
        <v>0</v>
      </c>
      <c r="DW152" s="295">
        <v>0</v>
      </c>
    </row>
    <row r="153" spans="1:127">
      <c r="A153" s="321">
        <v>3406</v>
      </c>
      <c r="B153" s="322" t="s">
        <v>459</v>
      </c>
      <c r="C153" s="321">
        <v>3406</v>
      </c>
      <c r="D153" s="323" t="s">
        <v>817</v>
      </c>
      <c r="E153" s="323" t="s">
        <v>539</v>
      </c>
      <c r="F153" s="323" t="s">
        <v>818</v>
      </c>
      <c r="G153" s="323" t="s">
        <v>800</v>
      </c>
      <c r="H153" s="294">
        <v>1725004.35</v>
      </c>
      <c r="I153" s="294">
        <v>0</v>
      </c>
      <c r="J153" s="294">
        <v>47357.2</v>
      </c>
      <c r="K153" s="294">
        <v>0</v>
      </c>
      <c r="L153" s="294">
        <v>232190</v>
      </c>
      <c r="M153" s="294">
        <v>2400</v>
      </c>
      <c r="N153" s="294">
        <v>0</v>
      </c>
      <c r="O153" s="294">
        <v>0</v>
      </c>
      <c r="P153" s="294">
        <v>23080.35</v>
      </c>
      <c r="Q153" s="294">
        <v>26477.1</v>
      </c>
      <c r="R153" s="294">
        <v>0</v>
      </c>
      <c r="S153" s="294">
        <v>0</v>
      </c>
      <c r="T153" s="294">
        <v>12896.050000000003</v>
      </c>
      <c r="U153" s="294">
        <v>0</v>
      </c>
      <c r="V153" s="294">
        <v>0</v>
      </c>
      <c r="W153" s="294">
        <v>4302.71</v>
      </c>
      <c r="X153" s="294">
        <v>30076</v>
      </c>
      <c r="Y153" s="294">
        <v>2103783.7600000002</v>
      </c>
      <c r="Z153" s="294">
        <v>1008405.2699999978</v>
      </c>
      <c r="AA153" s="294">
        <v>35128.17</v>
      </c>
      <c r="AB153" s="294">
        <v>262402</v>
      </c>
      <c r="AC153" s="294">
        <v>0</v>
      </c>
      <c r="AD153" s="294">
        <v>207689.38</v>
      </c>
      <c r="AE153" s="294">
        <v>0</v>
      </c>
      <c r="AF153" s="294">
        <v>29774.22</v>
      </c>
      <c r="AG153" s="294">
        <v>0</v>
      </c>
      <c r="AH153" s="294">
        <v>6468.2999999999993</v>
      </c>
      <c r="AI153" s="294">
        <v>0</v>
      </c>
      <c r="AJ153" s="294">
        <v>0</v>
      </c>
      <c r="AK153" s="294">
        <v>34020.460000000006</v>
      </c>
      <c r="AL153" s="294">
        <v>4894.369999999999</v>
      </c>
      <c r="AM153" s="294">
        <v>31343.81</v>
      </c>
      <c r="AN153" s="294">
        <v>7210.7899999999981</v>
      </c>
      <c r="AO153" s="294">
        <v>3719.5600000000036</v>
      </c>
      <c r="AP153" s="294">
        <v>3842.48</v>
      </c>
      <c r="AQ153" s="294">
        <v>5647.02</v>
      </c>
      <c r="AR153" s="294">
        <v>59131.830000000016</v>
      </c>
      <c r="AS153" s="294">
        <v>0</v>
      </c>
      <c r="AT153" s="294">
        <v>0</v>
      </c>
      <c r="AU153" s="294">
        <v>17217.020000000004</v>
      </c>
      <c r="AV153" s="294">
        <v>0</v>
      </c>
      <c r="AW153" s="294">
        <v>4628.3999999999996</v>
      </c>
      <c r="AX153" s="294">
        <v>100649.11</v>
      </c>
      <c r="AY153" s="294">
        <v>25401.95</v>
      </c>
      <c r="AZ153" s="294">
        <v>6016.8</v>
      </c>
      <c r="BA153" s="294">
        <v>127249.09999999998</v>
      </c>
      <c r="BB153" s="294">
        <v>0</v>
      </c>
      <c r="BC153" s="294">
        <v>0</v>
      </c>
      <c r="BD153" s="294">
        <v>0</v>
      </c>
      <c r="BE153" s="294">
        <v>1980840.0399999982</v>
      </c>
      <c r="BF153" s="294">
        <v>147532.44999999995</v>
      </c>
      <c r="BG153" s="294">
        <v>122943.72000000207</v>
      </c>
      <c r="BH153" s="294">
        <v>270476.17000000202</v>
      </c>
      <c r="BI153" s="294">
        <v>0</v>
      </c>
      <c r="BJ153" s="294">
        <v>0</v>
      </c>
      <c r="BK153" s="294">
        <v>0</v>
      </c>
      <c r="BL153" s="294">
        <v>0</v>
      </c>
      <c r="BM153" s="294">
        <v>0</v>
      </c>
      <c r="BN153" s="294">
        <v>0</v>
      </c>
      <c r="BO153" s="294">
        <v>0</v>
      </c>
      <c r="BP153" s="294">
        <v>0</v>
      </c>
      <c r="BQ153" s="294">
        <v>0</v>
      </c>
      <c r="BR153" s="294">
        <v>0</v>
      </c>
      <c r="BS153" s="294">
        <v>0</v>
      </c>
      <c r="BT153" s="294">
        <v>0</v>
      </c>
      <c r="BU153" s="294">
        <v>0</v>
      </c>
      <c r="BV153" s="294">
        <v>0</v>
      </c>
      <c r="BW153" s="294">
        <v>0</v>
      </c>
      <c r="BX153" s="294">
        <v>0</v>
      </c>
      <c r="BY153" s="294">
        <v>0</v>
      </c>
      <c r="BZ153" s="294">
        <v>0</v>
      </c>
      <c r="CA153" s="294">
        <v>0</v>
      </c>
      <c r="CB153" s="294">
        <v>0</v>
      </c>
      <c r="CC153" s="294">
        <v>0</v>
      </c>
      <c r="CD153" s="294">
        <v>270476.17000000202</v>
      </c>
      <c r="CE153" s="294">
        <v>0</v>
      </c>
      <c r="CF153" s="294">
        <v>0</v>
      </c>
      <c r="CG153" s="294">
        <v>0</v>
      </c>
      <c r="CH153" s="294">
        <v>0</v>
      </c>
      <c r="CI153" s="294">
        <f t="shared" si="2"/>
        <v>270476.17000000202</v>
      </c>
      <c r="CJ153" s="294">
        <v>0</v>
      </c>
      <c r="CK153" s="294">
        <v>0</v>
      </c>
      <c r="CL153" s="294">
        <v>0</v>
      </c>
      <c r="CM153" s="294">
        <v>0</v>
      </c>
      <c r="CN153" s="294">
        <v>0</v>
      </c>
      <c r="CO153" s="294">
        <v>0</v>
      </c>
      <c r="CP153" s="294">
        <v>0</v>
      </c>
      <c r="CQ153" s="294">
        <v>0</v>
      </c>
      <c r="CR153" s="294">
        <v>0</v>
      </c>
      <c r="CS153" s="294">
        <v>0</v>
      </c>
      <c r="CT153" s="294">
        <v>0</v>
      </c>
      <c r="CU153" s="294">
        <v>0</v>
      </c>
      <c r="CV153" s="294">
        <v>0</v>
      </c>
      <c r="CW153" s="294">
        <v>0</v>
      </c>
      <c r="CX153" s="294"/>
      <c r="CY153" s="294"/>
      <c r="CZ153" s="294"/>
      <c r="DA153" s="294">
        <v>290611.73000000214</v>
      </c>
      <c r="DB153" s="294">
        <v>290611.73000000214</v>
      </c>
      <c r="DC153" s="294">
        <v>0</v>
      </c>
      <c r="DD153" s="294">
        <v>5980.56</v>
      </c>
      <c r="DE153" s="294">
        <v>0</v>
      </c>
      <c r="DF153" s="294">
        <v>0</v>
      </c>
      <c r="DG153" s="294">
        <v>0</v>
      </c>
      <c r="DH153" s="294">
        <v>-26116.12</v>
      </c>
      <c r="DI153" s="294">
        <v>0</v>
      </c>
      <c r="DJ153" s="294">
        <v>0</v>
      </c>
      <c r="DK153" s="294">
        <v>-20135.559999999998</v>
      </c>
      <c r="DL153" s="294">
        <v>0</v>
      </c>
      <c r="DM153" s="294">
        <v>0</v>
      </c>
      <c r="DN153" s="294">
        <v>0</v>
      </c>
      <c r="DO153" s="294">
        <v>0</v>
      </c>
      <c r="DP153" s="294">
        <v>0</v>
      </c>
      <c r="DQ153" s="324">
        <v>-2.1536834537982941E-9</v>
      </c>
      <c r="DR153" s="295">
        <v>1543399.0399999979</v>
      </c>
      <c r="DS153" s="325">
        <v>437441.00000000023</v>
      </c>
      <c r="DT153" s="295">
        <v>25401.95</v>
      </c>
      <c r="DU153" s="295">
        <v>62453.5</v>
      </c>
      <c r="DV153" s="295">
        <v>0</v>
      </c>
      <c r="DW153" s="295">
        <v>0</v>
      </c>
    </row>
    <row r="154" spans="1:127">
      <c r="A154" s="321">
        <v>3386</v>
      </c>
      <c r="B154" s="322" t="s">
        <v>460</v>
      </c>
      <c r="C154" s="321">
        <v>3386</v>
      </c>
      <c r="D154" s="323" t="s">
        <v>817</v>
      </c>
      <c r="E154" s="323" t="s">
        <v>539</v>
      </c>
      <c r="F154" s="323" t="s">
        <v>818</v>
      </c>
      <c r="G154" s="323" t="s">
        <v>537</v>
      </c>
      <c r="H154" s="294">
        <v>1491688.89</v>
      </c>
      <c r="I154" s="294">
        <v>0</v>
      </c>
      <c r="J154" s="294">
        <v>100097.35</v>
      </c>
      <c r="K154" s="294">
        <v>0</v>
      </c>
      <c r="L154" s="294">
        <v>157100</v>
      </c>
      <c r="M154" s="294">
        <v>971.29</v>
      </c>
      <c r="N154" s="294">
        <v>0</v>
      </c>
      <c r="O154" s="294">
        <v>0</v>
      </c>
      <c r="P154" s="294">
        <v>20674.8</v>
      </c>
      <c r="Q154" s="294">
        <v>0</v>
      </c>
      <c r="R154" s="294">
        <v>0</v>
      </c>
      <c r="S154" s="294">
        <v>0</v>
      </c>
      <c r="T154" s="294">
        <v>5355.8499999999985</v>
      </c>
      <c r="U154" s="294">
        <v>0</v>
      </c>
      <c r="V154" s="294">
        <v>0</v>
      </c>
      <c r="W154" s="294">
        <v>7981.67</v>
      </c>
      <c r="X154" s="294">
        <v>31863</v>
      </c>
      <c r="Y154" s="294">
        <v>1815732.85</v>
      </c>
      <c r="Z154" s="294">
        <v>845037.24000000092</v>
      </c>
      <c r="AA154" s="294">
        <v>0</v>
      </c>
      <c r="AB154" s="294">
        <v>411382.01</v>
      </c>
      <c r="AC154" s="294">
        <v>63408.050000000425</v>
      </c>
      <c r="AD154" s="294">
        <v>18847.760000000002</v>
      </c>
      <c r="AE154" s="294">
        <v>0</v>
      </c>
      <c r="AF154" s="294">
        <v>54126.619999999879</v>
      </c>
      <c r="AG154" s="294">
        <v>1432.4399999999696</v>
      </c>
      <c r="AH154" s="294">
        <v>4680</v>
      </c>
      <c r="AI154" s="294">
        <v>0</v>
      </c>
      <c r="AJ154" s="294">
        <v>0</v>
      </c>
      <c r="AK154" s="294">
        <v>37635.640000000007</v>
      </c>
      <c r="AL154" s="294">
        <v>0</v>
      </c>
      <c r="AM154" s="294">
        <v>4221.6400000000003</v>
      </c>
      <c r="AN154" s="294">
        <v>2814.7</v>
      </c>
      <c r="AO154" s="294">
        <v>33218.04</v>
      </c>
      <c r="AP154" s="294">
        <v>0</v>
      </c>
      <c r="AQ154" s="294">
        <v>5278.4400000000005</v>
      </c>
      <c r="AR154" s="294">
        <v>46104.999999999993</v>
      </c>
      <c r="AS154" s="294">
        <v>0</v>
      </c>
      <c r="AT154" s="294">
        <v>0</v>
      </c>
      <c r="AU154" s="294">
        <v>63193.17</v>
      </c>
      <c r="AV154" s="294">
        <v>9500.7099999999991</v>
      </c>
      <c r="AW154" s="294">
        <v>3220</v>
      </c>
      <c r="AX154" s="294">
        <v>88096.549999999988</v>
      </c>
      <c r="AY154" s="294">
        <v>11816.319999999998</v>
      </c>
      <c r="AZ154" s="294">
        <v>1728.48</v>
      </c>
      <c r="BA154" s="294">
        <v>159327.47</v>
      </c>
      <c r="BB154" s="294">
        <v>0</v>
      </c>
      <c r="BC154" s="294">
        <v>0</v>
      </c>
      <c r="BD154" s="294">
        <v>0</v>
      </c>
      <c r="BE154" s="294">
        <v>1865070.280000001</v>
      </c>
      <c r="BF154" s="294">
        <v>258292.92999999979</v>
      </c>
      <c r="BG154" s="294">
        <v>-49337.430000000866</v>
      </c>
      <c r="BH154" s="294">
        <v>208955.49999999892</v>
      </c>
      <c r="BI154" s="294">
        <v>0</v>
      </c>
      <c r="BJ154" s="294">
        <v>0</v>
      </c>
      <c r="BK154" s="294">
        <v>0</v>
      </c>
      <c r="BL154" s="294">
        <v>0</v>
      </c>
      <c r="BM154" s="294">
        <v>0</v>
      </c>
      <c r="BN154" s="294">
        <v>0</v>
      </c>
      <c r="BO154" s="294">
        <v>0</v>
      </c>
      <c r="BP154" s="294">
        <v>0</v>
      </c>
      <c r="BQ154" s="294">
        <v>0</v>
      </c>
      <c r="BR154" s="294">
        <v>0</v>
      </c>
      <c r="BS154" s="294">
        <v>0</v>
      </c>
      <c r="BT154" s="294">
        <v>0</v>
      </c>
      <c r="BU154" s="294">
        <v>0</v>
      </c>
      <c r="BV154" s="294">
        <v>0</v>
      </c>
      <c r="BW154" s="294">
        <v>0</v>
      </c>
      <c r="BX154" s="294">
        <v>0</v>
      </c>
      <c r="BY154" s="294">
        <v>0</v>
      </c>
      <c r="BZ154" s="294">
        <v>0</v>
      </c>
      <c r="CA154" s="294">
        <v>0</v>
      </c>
      <c r="CB154" s="294">
        <v>0</v>
      </c>
      <c r="CC154" s="294">
        <v>0</v>
      </c>
      <c r="CD154" s="294">
        <v>208955.49999999892</v>
      </c>
      <c r="CE154" s="294">
        <v>0</v>
      </c>
      <c r="CF154" s="294">
        <v>0</v>
      </c>
      <c r="CG154" s="294">
        <v>0</v>
      </c>
      <c r="CH154" s="294">
        <v>0</v>
      </c>
      <c r="CI154" s="294">
        <f t="shared" si="2"/>
        <v>208955.49999999892</v>
      </c>
      <c r="CJ154" s="294">
        <v>119873.93</v>
      </c>
      <c r="CK154" s="294">
        <v>0</v>
      </c>
      <c r="CL154" s="294">
        <v>0</v>
      </c>
      <c r="CM154" s="294">
        <v>119873.93</v>
      </c>
      <c r="CN154" s="294">
        <v>0</v>
      </c>
      <c r="CO154" s="294">
        <v>0</v>
      </c>
      <c r="CP154" s="294">
        <v>1667.88</v>
      </c>
      <c r="CQ154" s="294">
        <v>0</v>
      </c>
      <c r="CR154" s="294">
        <v>108008.33000000002</v>
      </c>
      <c r="CS154" s="294">
        <v>229550.14</v>
      </c>
      <c r="CT154" s="294">
        <v>0</v>
      </c>
      <c r="CU154" s="294">
        <v>0</v>
      </c>
      <c r="CV154" s="294">
        <v>0</v>
      </c>
      <c r="CW154" s="294">
        <v>0</v>
      </c>
      <c r="CX154" s="294"/>
      <c r="CY154" s="294"/>
      <c r="CZ154" s="294"/>
      <c r="DA154" s="294">
        <v>0</v>
      </c>
      <c r="DB154" s="294">
        <v>0</v>
      </c>
      <c r="DC154" s="294">
        <v>0</v>
      </c>
      <c r="DD154" s="294">
        <v>7504.29</v>
      </c>
      <c r="DE154" s="294">
        <v>0</v>
      </c>
      <c r="DF154" s="294">
        <v>0</v>
      </c>
      <c r="DG154" s="294">
        <v>0</v>
      </c>
      <c r="DH154" s="294">
        <v>-28099.14</v>
      </c>
      <c r="DI154" s="294">
        <v>0</v>
      </c>
      <c r="DJ154" s="294">
        <v>0</v>
      </c>
      <c r="DK154" s="294">
        <v>-20594.849999999999</v>
      </c>
      <c r="DL154" s="294">
        <v>0</v>
      </c>
      <c r="DM154" s="294">
        <v>0</v>
      </c>
      <c r="DN154" s="294">
        <v>0</v>
      </c>
      <c r="DO154" s="294">
        <v>0</v>
      </c>
      <c r="DP154" s="294">
        <v>0</v>
      </c>
      <c r="DQ154" s="324">
        <v>0.20999999999185093</v>
      </c>
      <c r="DR154" s="295">
        <v>1394234.1200000013</v>
      </c>
      <c r="DS154" s="325">
        <v>470836.15999999968</v>
      </c>
      <c r="DT154" s="295">
        <v>11816.319999999998</v>
      </c>
      <c r="DU154" s="295">
        <v>26030.649999999998</v>
      </c>
      <c r="DV154" s="295">
        <v>0</v>
      </c>
      <c r="DW154" s="295">
        <v>0</v>
      </c>
    </row>
    <row r="155" spans="1:127">
      <c r="A155" s="321">
        <v>3363</v>
      </c>
      <c r="B155" s="322" t="s">
        <v>372</v>
      </c>
      <c r="C155" s="321">
        <v>3363</v>
      </c>
      <c r="D155" s="323" t="s">
        <v>817</v>
      </c>
      <c r="E155" s="323" t="s">
        <v>539</v>
      </c>
      <c r="F155" s="323" t="s">
        <v>818</v>
      </c>
      <c r="G155" s="323" t="s">
        <v>537</v>
      </c>
      <c r="H155" s="294">
        <v>1820273.8</v>
      </c>
      <c r="I155" s="294">
        <v>0</v>
      </c>
      <c r="J155" s="294">
        <v>19814.03</v>
      </c>
      <c r="K155" s="294">
        <v>0</v>
      </c>
      <c r="L155" s="294">
        <v>166050</v>
      </c>
      <c r="M155" s="294">
        <v>3456.93</v>
      </c>
      <c r="N155" s="294">
        <v>0</v>
      </c>
      <c r="O155" s="294">
        <v>16183.44</v>
      </c>
      <c r="P155" s="294">
        <v>0</v>
      </c>
      <c r="Q155" s="294">
        <v>0</v>
      </c>
      <c r="R155" s="294">
        <v>0</v>
      </c>
      <c r="S155" s="294">
        <v>0</v>
      </c>
      <c r="T155" s="294">
        <v>53591.43</v>
      </c>
      <c r="U155" s="294">
        <v>18233.57</v>
      </c>
      <c r="V155" s="294">
        <v>0</v>
      </c>
      <c r="W155" s="294">
        <v>7201.88</v>
      </c>
      <c r="X155" s="294">
        <v>62759</v>
      </c>
      <c r="Y155" s="294">
        <v>2167564.0799999996</v>
      </c>
      <c r="Z155" s="294">
        <v>977544.26</v>
      </c>
      <c r="AA155" s="294">
        <v>0</v>
      </c>
      <c r="AB155" s="294">
        <v>367613.19</v>
      </c>
      <c r="AC155" s="294">
        <v>45128.75</v>
      </c>
      <c r="AD155" s="294">
        <v>244421.06</v>
      </c>
      <c r="AE155" s="294">
        <v>0</v>
      </c>
      <c r="AF155" s="294">
        <v>106475.71</v>
      </c>
      <c r="AG155" s="294">
        <v>378</v>
      </c>
      <c r="AH155" s="294">
        <v>2750</v>
      </c>
      <c r="AI155" s="294">
        <v>0</v>
      </c>
      <c r="AJ155" s="294">
        <v>0</v>
      </c>
      <c r="AK155" s="294">
        <v>17436.14</v>
      </c>
      <c r="AL155" s="294">
        <v>0</v>
      </c>
      <c r="AM155" s="294">
        <v>40070.620000000003</v>
      </c>
      <c r="AN155" s="294">
        <v>5160.37</v>
      </c>
      <c r="AO155" s="294">
        <v>53261.34</v>
      </c>
      <c r="AP155" s="294">
        <v>3073.98</v>
      </c>
      <c r="AQ155" s="294">
        <v>30560.99</v>
      </c>
      <c r="AR155" s="294">
        <v>65582.91</v>
      </c>
      <c r="AS155" s="294">
        <v>8237.7000000000007</v>
      </c>
      <c r="AT155" s="294">
        <v>0</v>
      </c>
      <c r="AU155" s="294">
        <v>22819.66</v>
      </c>
      <c r="AV155" s="294">
        <v>9471</v>
      </c>
      <c r="AW155" s="294">
        <v>2800</v>
      </c>
      <c r="AX155" s="294">
        <v>103236.01</v>
      </c>
      <c r="AY155" s="294">
        <v>51834.97</v>
      </c>
      <c r="AZ155" s="294">
        <v>34329.56</v>
      </c>
      <c r="BA155" s="294">
        <v>90815.85</v>
      </c>
      <c r="BB155" s="294">
        <v>0</v>
      </c>
      <c r="BC155" s="294">
        <v>0</v>
      </c>
      <c r="BD155" s="294">
        <v>0</v>
      </c>
      <c r="BE155" s="294">
        <v>2283002.0700000003</v>
      </c>
      <c r="BF155" s="294">
        <v>248976.21000000008</v>
      </c>
      <c r="BG155" s="294">
        <v>-115437.99000000069</v>
      </c>
      <c r="BH155" s="294">
        <v>133538.21999999939</v>
      </c>
      <c r="BI155" s="294">
        <v>0</v>
      </c>
      <c r="BJ155" s="294">
        <v>0</v>
      </c>
      <c r="BK155" s="294">
        <v>0</v>
      </c>
      <c r="BL155" s="294">
        <v>0</v>
      </c>
      <c r="BM155" s="294">
        <v>0</v>
      </c>
      <c r="BN155" s="294">
        <v>0</v>
      </c>
      <c r="BO155" s="294">
        <v>0</v>
      </c>
      <c r="BP155" s="294">
        <v>0</v>
      </c>
      <c r="BQ155" s="294">
        <v>0</v>
      </c>
      <c r="BR155" s="294">
        <v>0</v>
      </c>
      <c r="BS155" s="294">
        <v>0</v>
      </c>
      <c r="BT155" s="294">
        <v>0</v>
      </c>
      <c r="BU155" s="294">
        <v>0</v>
      </c>
      <c r="BV155" s="294">
        <v>0</v>
      </c>
      <c r="BW155" s="294">
        <v>0</v>
      </c>
      <c r="BX155" s="294">
        <v>0</v>
      </c>
      <c r="BY155" s="294">
        <v>0</v>
      </c>
      <c r="BZ155" s="294">
        <v>0</v>
      </c>
      <c r="CA155" s="294">
        <v>0</v>
      </c>
      <c r="CB155" s="294">
        <v>0</v>
      </c>
      <c r="CC155" s="294">
        <v>0</v>
      </c>
      <c r="CD155" s="294">
        <v>133538.21999999939</v>
      </c>
      <c r="CE155" s="294">
        <v>0</v>
      </c>
      <c r="CF155" s="294">
        <v>0</v>
      </c>
      <c r="CG155" s="294">
        <v>0</v>
      </c>
      <c r="CH155" s="294">
        <v>0</v>
      </c>
      <c r="CI155" s="294">
        <f t="shared" si="2"/>
        <v>133538.21999999939</v>
      </c>
      <c r="CJ155" s="294">
        <v>305538.65999999997</v>
      </c>
      <c r="CK155" s="294">
        <v>180338.1</v>
      </c>
      <c r="CL155" s="294">
        <v>0</v>
      </c>
      <c r="CM155" s="294">
        <v>125200.55999999997</v>
      </c>
      <c r="CN155" s="294">
        <v>0</v>
      </c>
      <c r="CO155" s="294">
        <v>0</v>
      </c>
      <c r="CP155" s="294">
        <v>5861.74</v>
      </c>
      <c r="CQ155" s="294">
        <v>0</v>
      </c>
      <c r="CR155" s="294">
        <v>0</v>
      </c>
      <c r="CS155" s="294">
        <v>131062.29999999997</v>
      </c>
      <c r="CT155" s="294">
        <v>8506.9500000000007</v>
      </c>
      <c r="CU155" s="294">
        <v>0</v>
      </c>
      <c r="CV155" s="294">
        <v>0</v>
      </c>
      <c r="CW155" s="294">
        <v>8506.9500000000007</v>
      </c>
      <c r="CX155" s="294"/>
      <c r="CY155" s="294"/>
      <c r="CZ155" s="294"/>
      <c r="DA155" s="294">
        <v>0</v>
      </c>
      <c r="DB155" s="294">
        <v>8506.9500000000007</v>
      </c>
      <c r="DC155" s="294">
        <v>0</v>
      </c>
      <c r="DD155" s="294">
        <v>0</v>
      </c>
      <c r="DE155" s="294">
        <v>0</v>
      </c>
      <c r="DF155" s="294">
        <v>0</v>
      </c>
      <c r="DG155" s="294">
        <v>-12750.49</v>
      </c>
      <c r="DH155" s="294">
        <v>0</v>
      </c>
      <c r="DI155" s="294">
        <v>0</v>
      </c>
      <c r="DJ155" s="294">
        <v>0</v>
      </c>
      <c r="DK155" s="294">
        <v>-12750.49</v>
      </c>
      <c r="DL155" s="294">
        <v>0</v>
      </c>
      <c r="DM155" s="294">
        <v>6577.03</v>
      </c>
      <c r="DN155" s="294">
        <v>142.44</v>
      </c>
      <c r="DO155" s="294">
        <v>0</v>
      </c>
      <c r="DP155" s="294">
        <v>0</v>
      </c>
      <c r="DQ155" s="324">
        <v>0.19999999995343387</v>
      </c>
      <c r="DR155" s="295">
        <v>1741560.97</v>
      </c>
      <c r="DS155" s="325">
        <v>541441.10000000033</v>
      </c>
      <c r="DT155" s="295">
        <v>51834.97</v>
      </c>
      <c r="DU155" s="295">
        <v>69774.87</v>
      </c>
      <c r="DV155" s="295">
        <v>18233.57</v>
      </c>
      <c r="DW155" s="295">
        <v>6719.4699999999993</v>
      </c>
    </row>
    <row r="156" spans="1:127">
      <c r="A156" s="321">
        <v>3355</v>
      </c>
      <c r="B156" s="322" t="s">
        <v>513</v>
      </c>
      <c r="C156" s="321">
        <v>3355</v>
      </c>
      <c r="D156" s="323" t="s">
        <v>817</v>
      </c>
      <c r="E156" s="323" t="s">
        <v>539</v>
      </c>
      <c r="F156" s="323" t="s">
        <v>818</v>
      </c>
      <c r="G156" s="323" t="s">
        <v>537</v>
      </c>
      <c r="H156" s="294">
        <v>2147562.06</v>
      </c>
      <c r="I156" s="294">
        <v>0</v>
      </c>
      <c r="J156" s="294">
        <v>117686.49</v>
      </c>
      <c r="K156" s="294">
        <v>0</v>
      </c>
      <c r="L156" s="294">
        <v>155040</v>
      </c>
      <c r="M156" s="294">
        <v>124367.51000000001</v>
      </c>
      <c r="N156" s="294">
        <v>0</v>
      </c>
      <c r="O156" s="294">
        <v>0</v>
      </c>
      <c r="P156" s="294">
        <v>123290.06000000001</v>
      </c>
      <c r="Q156" s="294">
        <v>44650.22</v>
      </c>
      <c r="R156" s="294">
        <v>0</v>
      </c>
      <c r="S156" s="294">
        <v>0</v>
      </c>
      <c r="T156" s="294">
        <v>16170.89</v>
      </c>
      <c r="U156" s="294">
        <v>0</v>
      </c>
      <c r="V156" s="294">
        <v>0</v>
      </c>
      <c r="W156" s="294">
        <v>1864.8</v>
      </c>
      <c r="X156" s="294">
        <v>75549</v>
      </c>
      <c r="Y156" s="294">
        <v>2806181.0300000007</v>
      </c>
      <c r="Z156" s="294">
        <v>1066828.4999999977</v>
      </c>
      <c r="AA156" s="294">
        <v>0</v>
      </c>
      <c r="AB156" s="294">
        <v>466950.05</v>
      </c>
      <c r="AC156" s="294">
        <v>56295.780000001483</v>
      </c>
      <c r="AD156" s="294">
        <v>127607.28</v>
      </c>
      <c r="AE156" s="294">
        <v>0</v>
      </c>
      <c r="AF156" s="294">
        <v>25262.149999999441</v>
      </c>
      <c r="AG156" s="294">
        <v>0</v>
      </c>
      <c r="AH156" s="294">
        <v>5870</v>
      </c>
      <c r="AI156" s="294">
        <v>0</v>
      </c>
      <c r="AJ156" s="294">
        <v>0</v>
      </c>
      <c r="AK156" s="294">
        <v>0</v>
      </c>
      <c r="AL156" s="294">
        <v>2988.69</v>
      </c>
      <c r="AM156" s="294">
        <v>45166</v>
      </c>
      <c r="AN156" s="294">
        <v>9413.9500000000007</v>
      </c>
      <c r="AO156" s="294">
        <v>49628.02</v>
      </c>
      <c r="AP156" s="294">
        <v>6200.96</v>
      </c>
      <c r="AQ156" s="294">
        <v>6000.27</v>
      </c>
      <c r="AR156" s="294">
        <v>69091.58</v>
      </c>
      <c r="AS156" s="294">
        <v>602.37</v>
      </c>
      <c r="AT156" s="294">
        <v>360.59999999999991</v>
      </c>
      <c r="AU156" s="294">
        <v>302604.33999999997</v>
      </c>
      <c r="AV156" s="294">
        <v>9471</v>
      </c>
      <c r="AW156" s="294">
        <v>0</v>
      </c>
      <c r="AX156" s="294">
        <v>203937.19</v>
      </c>
      <c r="AY156" s="294">
        <v>9744.5999999999985</v>
      </c>
      <c r="AZ156" s="294">
        <v>10278.700000000001</v>
      </c>
      <c r="BA156" s="294">
        <v>221663.59</v>
      </c>
      <c r="BB156" s="294">
        <v>0</v>
      </c>
      <c r="BC156" s="294">
        <v>0</v>
      </c>
      <c r="BD156" s="294">
        <v>437.04</v>
      </c>
      <c r="BE156" s="294">
        <v>2696402.6599999988</v>
      </c>
      <c r="BF156" s="294">
        <v>281256.39000000036</v>
      </c>
      <c r="BG156" s="294">
        <v>109778.37000000197</v>
      </c>
      <c r="BH156" s="294">
        <v>391034.76000000234</v>
      </c>
      <c r="BI156" s="294">
        <v>0</v>
      </c>
      <c r="BJ156" s="294">
        <v>0</v>
      </c>
      <c r="BK156" s="294">
        <v>437.04</v>
      </c>
      <c r="BL156" s="294">
        <v>437.04</v>
      </c>
      <c r="BM156" s="294">
        <v>0</v>
      </c>
      <c r="BN156" s="294">
        <v>437.04</v>
      </c>
      <c r="BO156" s="294">
        <v>0</v>
      </c>
      <c r="BP156" s="294">
        <v>0</v>
      </c>
      <c r="BQ156" s="294">
        <v>437.04</v>
      </c>
      <c r="BR156" s="294">
        <v>0</v>
      </c>
      <c r="BS156" s="294">
        <v>0</v>
      </c>
      <c r="BT156" s="294">
        <v>0</v>
      </c>
      <c r="BU156" s="294">
        <v>0</v>
      </c>
      <c r="BV156" s="294">
        <v>0</v>
      </c>
      <c r="BW156" s="294">
        <v>0</v>
      </c>
      <c r="BX156" s="294">
        <v>0</v>
      </c>
      <c r="BY156" s="294">
        <v>0</v>
      </c>
      <c r="BZ156" s="294">
        <v>0</v>
      </c>
      <c r="CA156" s="294">
        <v>0</v>
      </c>
      <c r="CB156" s="294">
        <v>0</v>
      </c>
      <c r="CC156" s="294">
        <v>0</v>
      </c>
      <c r="CD156" s="294">
        <v>391034.76000000234</v>
      </c>
      <c r="CE156" s="294">
        <v>0</v>
      </c>
      <c r="CF156" s="294">
        <v>0</v>
      </c>
      <c r="CG156" s="294">
        <v>0</v>
      </c>
      <c r="CH156" s="294">
        <v>0</v>
      </c>
      <c r="CI156" s="294">
        <f t="shared" si="2"/>
        <v>391034.76000000234</v>
      </c>
      <c r="CJ156" s="294">
        <v>660494.53</v>
      </c>
      <c r="CK156" s="294">
        <v>0</v>
      </c>
      <c r="CL156" s="294">
        <v>0</v>
      </c>
      <c r="CM156" s="294">
        <v>660494.53</v>
      </c>
      <c r="CN156" s="294">
        <v>0</v>
      </c>
      <c r="CO156" s="294">
        <v>0</v>
      </c>
      <c r="CP156" s="294">
        <v>2986.22</v>
      </c>
      <c r="CQ156" s="294">
        <v>19474.760000000002</v>
      </c>
      <c r="CR156" s="294">
        <v>-257315</v>
      </c>
      <c r="CS156" s="294">
        <v>425640.51</v>
      </c>
      <c r="CT156" s="294">
        <v>0</v>
      </c>
      <c r="CU156" s="294">
        <v>0</v>
      </c>
      <c r="CV156" s="294">
        <v>0</v>
      </c>
      <c r="CW156" s="294">
        <v>0</v>
      </c>
      <c r="CX156" s="294"/>
      <c r="CY156" s="294"/>
      <c r="CZ156" s="294"/>
      <c r="DA156" s="294">
        <v>0</v>
      </c>
      <c r="DB156" s="294">
        <v>0</v>
      </c>
      <c r="DC156" s="294">
        <v>0</v>
      </c>
      <c r="DD156" s="294">
        <v>8072.49</v>
      </c>
      <c r="DE156" s="294">
        <v>0</v>
      </c>
      <c r="DF156" s="294">
        <v>0</v>
      </c>
      <c r="DG156" s="294">
        <v>0</v>
      </c>
      <c r="DH156" s="294">
        <v>-42678.3</v>
      </c>
      <c r="DI156" s="294">
        <v>0</v>
      </c>
      <c r="DJ156" s="294">
        <v>0</v>
      </c>
      <c r="DK156" s="294">
        <v>-34605.810000000005</v>
      </c>
      <c r="DL156" s="294">
        <v>0</v>
      </c>
      <c r="DM156" s="294">
        <v>0</v>
      </c>
      <c r="DN156" s="294">
        <v>0</v>
      </c>
      <c r="DO156" s="294">
        <v>0</v>
      </c>
      <c r="DP156" s="294">
        <v>0</v>
      </c>
      <c r="DQ156" s="324">
        <v>5.9999999997671694E-2</v>
      </c>
      <c r="DR156" s="295">
        <v>1742943.7599999986</v>
      </c>
      <c r="DS156" s="325">
        <v>953458.90000000014</v>
      </c>
      <c r="DT156" s="295">
        <v>9744.5999999999985</v>
      </c>
      <c r="DU156" s="295">
        <v>184111.17000000004</v>
      </c>
      <c r="DV156" s="295">
        <v>0</v>
      </c>
      <c r="DW156" s="295">
        <v>0</v>
      </c>
    </row>
    <row r="157" spans="1:127">
      <c r="A157" s="321">
        <v>3342</v>
      </c>
      <c r="B157" s="322" t="s">
        <v>461</v>
      </c>
      <c r="C157" s="321">
        <v>3342</v>
      </c>
      <c r="D157" s="323" t="s">
        <v>817</v>
      </c>
      <c r="E157" s="323" t="s">
        <v>539</v>
      </c>
      <c r="F157" s="323" t="s">
        <v>818</v>
      </c>
      <c r="G157" s="323" t="s">
        <v>800</v>
      </c>
      <c r="H157" s="294">
        <v>2356634.7000000002</v>
      </c>
      <c r="I157" s="294">
        <v>0</v>
      </c>
      <c r="J157" s="294">
        <v>140517.01</v>
      </c>
      <c r="K157" s="294">
        <v>0</v>
      </c>
      <c r="L157" s="294">
        <v>329880</v>
      </c>
      <c r="M157" s="294">
        <v>8656.93</v>
      </c>
      <c r="N157" s="294">
        <v>0</v>
      </c>
      <c r="O157" s="294">
        <v>0</v>
      </c>
      <c r="P157" s="294">
        <v>25523.29</v>
      </c>
      <c r="Q157" s="294">
        <v>57025.42</v>
      </c>
      <c r="R157" s="294">
        <v>0</v>
      </c>
      <c r="S157" s="294">
        <v>0</v>
      </c>
      <c r="T157" s="294">
        <v>0</v>
      </c>
      <c r="U157" s="294">
        <v>0</v>
      </c>
      <c r="V157" s="294">
        <v>0</v>
      </c>
      <c r="W157" s="294">
        <v>5359.17</v>
      </c>
      <c r="X157" s="294">
        <v>58610</v>
      </c>
      <c r="Y157" s="294">
        <v>2982206.52</v>
      </c>
      <c r="Z157" s="294">
        <v>1168572.6999999997</v>
      </c>
      <c r="AA157" s="294">
        <v>1603</v>
      </c>
      <c r="AB157" s="294">
        <v>507980.29000000004</v>
      </c>
      <c r="AC157" s="294">
        <v>44786.960000001476</v>
      </c>
      <c r="AD157" s="294">
        <v>246060.49000000002</v>
      </c>
      <c r="AE157" s="294">
        <v>0</v>
      </c>
      <c r="AF157" s="294">
        <v>105150.91999999894</v>
      </c>
      <c r="AG157" s="294">
        <v>1236.2000000000007</v>
      </c>
      <c r="AH157" s="294">
        <v>5181.5</v>
      </c>
      <c r="AI157" s="294">
        <v>0</v>
      </c>
      <c r="AJ157" s="294">
        <v>0</v>
      </c>
      <c r="AK157" s="294">
        <v>4380.28</v>
      </c>
      <c r="AL157" s="294">
        <v>0</v>
      </c>
      <c r="AM157" s="294">
        <v>63932</v>
      </c>
      <c r="AN157" s="294">
        <v>17530.77</v>
      </c>
      <c r="AO157" s="294">
        <v>35229.82</v>
      </c>
      <c r="AP157" s="294">
        <v>7949.95</v>
      </c>
      <c r="AQ157" s="294">
        <v>10982.32</v>
      </c>
      <c r="AR157" s="294">
        <v>66071.049999999988</v>
      </c>
      <c r="AS157" s="294">
        <v>29123.41</v>
      </c>
      <c r="AT157" s="294">
        <v>0</v>
      </c>
      <c r="AU157" s="294">
        <v>68658.710000000006</v>
      </c>
      <c r="AV157" s="294">
        <v>18081</v>
      </c>
      <c r="AW157" s="294">
        <v>15353.900000000001</v>
      </c>
      <c r="AX157" s="294">
        <v>188696.38</v>
      </c>
      <c r="AY157" s="294">
        <v>224557.38999999998</v>
      </c>
      <c r="AZ157" s="294">
        <v>6031.42</v>
      </c>
      <c r="BA157" s="294">
        <v>87138.980000000025</v>
      </c>
      <c r="BB157" s="294">
        <v>0</v>
      </c>
      <c r="BC157" s="294">
        <v>0</v>
      </c>
      <c r="BD157" s="294">
        <v>1049.1199999999999</v>
      </c>
      <c r="BE157" s="294">
        <v>2925338.5599999996</v>
      </c>
      <c r="BF157" s="294">
        <v>464359.97000000009</v>
      </c>
      <c r="BG157" s="294">
        <v>56867.960000000428</v>
      </c>
      <c r="BH157" s="294">
        <v>521227.93000000052</v>
      </c>
      <c r="BI157" s="294">
        <v>0</v>
      </c>
      <c r="BJ157" s="294">
        <v>0</v>
      </c>
      <c r="BK157" s="294">
        <v>1049.1199999999999</v>
      </c>
      <c r="BL157" s="294">
        <v>1049.1199999999999</v>
      </c>
      <c r="BM157" s="294">
        <v>0</v>
      </c>
      <c r="BN157" s="294">
        <v>1049.1199999999999</v>
      </c>
      <c r="BO157" s="294">
        <v>0</v>
      </c>
      <c r="BP157" s="294">
        <v>0</v>
      </c>
      <c r="BQ157" s="294">
        <v>1049.1199999999999</v>
      </c>
      <c r="BR157" s="294">
        <v>0</v>
      </c>
      <c r="BS157" s="294">
        <v>0</v>
      </c>
      <c r="BT157" s="294">
        <v>0</v>
      </c>
      <c r="BU157" s="294">
        <v>0</v>
      </c>
      <c r="BV157" s="294">
        <v>0</v>
      </c>
      <c r="BW157" s="294">
        <v>0</v>
      </c>
      <c r="BX157" s="294">
        <v>0</v>
      </c>
      <c r="BY157" s="294">
        <v>0</v>
      </c>
      <c r="BZ157" s="294">
        <v>0</v>
      </c>
      <c r="CA157" s="294">
        <v>0</v>
      </c>
      <c r="CB157" s="294">
        <v>0</v>
      </c>
      <c r="CC157" s="294">
        <v>0</v>
      </c>
      <c r="CD157" s="294">
        <v>521227.93000000052</v>
      </c>
      <c r="CE157" s="294">
        <v>0</v>
      </c>
      <c r="CF157" s="294">
        <v>0</v>
      </c>
      <c r="CG157" s="294">
        <v>0</v>
      </c>
      <c r="CH157" s="294">
        <v>0</v>
      </c>
      <c r="CI157" s="294">
        <f t="shared" si="2"/>
        <v>521227.93000000052</v>
      </c>
      <c r="CJ157" s="294">
        <v>0</v>
      </c>
      <c r="CK157" s="294">
        <v>0</v>
      </c>
      <c r="CL157" s="294">
        <v>0</v>
      </c>
      <c r="CM157" s="294">
        <v>0</v>
      </c>
      <c r="CN157" s="294">
        <v>1000</v>
      </c>
      <c r="CO157" s="294">
        <v>0</v>
      </c>
      <c r="CP157" s="294">
        <v>0</v>
      </c>
      <c r="CQ157" s="294">
        <v>0</v>
      </c>
      <c r="CR157" s="294">
        <v>14508</v>
      </c>
      <c r="CS157" s="294">
        <v>15508</v>
      </c>
      <c r="CT157" s="294">
        <v>15508</v>
      </c>
      <c r="CU157" s="294">
        <v>0</v>
      </c>
      <c r="CV157" s="294">
        <v>0</v>
      </c>
      <c r="CW157" s="294">
        <v>15508</v>
      </c>
      <c r="CX157" s="294"/>
      <c r="CY157" s="294"/>
      <c r="CZ157" s="294"/>
      <c r="DA157" s="294">
        <v>532448.43000000017</v>
      </c>
      <c r="DB157" s="294">
        <v>547956.43000000017</v>
      </c>
      <c r="DC157" s="294">
        <v>0</v>
      </c>
      <c r="DD157" s="294">
        <v>14797.18</v>
      </c>
      <c r="DE157" s="294">
        <v>0</v>
      </c>
      <c r="DF157" s="294">
        <v>0</v>
      </c>
      <c r="DG157" s="294">
        <v>-7932.75</v>
      </c>
      <c r="DH157" s="294">
        <v>-49100.93</v>
      </c>
      <c r="DI157" s="294">
        <v>0</v>
      </c>
      <c r="DJ157" s="294">
        <v>0</v>
      </c>
      <c r="DK157" s="294">
        <v>-42236.5</v>
      </c>
      <c r="DL157" s="294">
        <v>0</v>
      </c>
      <c r="DM157" s="294">
        <v>0</v>
      </c>
      <c r="DN157" s="294">
        <v>0</v>
      </c>
      <c r="DO157" s="294">
        <v>0</v>
      </c>
      <c r="DP157" s="294">
        <v>0</v>
      </c>
      <c r="DQ157" s="324">
        <v>0</v>
      </c>
      <c r="DR157" s="295">
        <v>2075390.56</v>
      </c>
      <c r="DS157" s="325">
        <v>849947.99999999953</v>
      </c>
      <c r="DT157" s="295">
        <v>224557.38999999998</v>
      </c>
      <c r="DU157" s="295">
        <v>82548.709999999992</v>
      </c>
      <c r="DV157" s="295">
        <v>0</v>
      </c>
      <c r="DW157" s="295">
        <v>0</v>
      </c>
    </row>
    <row r="158" spans="1:127">
      <c r="A158" s="321">
        <v>3367</v>
      </c>
      <c r="B158" s="322" t="s">
        <v>514</v>
      </c>
      <c r="C158" s="321">
        <v>3367</v>
      </c>
      <c r="D158" s="323" t="s">
        <v>817</v>
      </c>
      <c r="E158" s="323" t="s">
        <v>539</v>
      </c>
      <c r="F158" s="323" t="s">
        <v>818</v>
      </c>
      <c r="G158" s="323" t="s">
        <v>537</v>
      </c>
      <c r="H158" s="294">
        <v>1342937.4</v>
      </c>
      <c r="I158" s="294">
        <v>0</v>
      </c>
      <c r="J158" s="294">
        <v>32123.54</v>
      </c>
      <c r="K158" s="294">
        <v>0</v>
      </c>
      <c r="L158" s="294">
        <v>128190</v>
      </c>
      <c r="M158" s="294">
        <v>856.93</v>
      </c>
      <c r="N158" s="294">
        <v>0</v>
      </c>
      <c r="O158" s="294">
        <v>0</v>
      </c>
      <c r="P158" s="294">
        <v>49244.940000000068</v>
      </c>
      <c r="Q158" s="294">
        <v>25479.83</v>
      </c>
      <c r="R158" s="294">
        <v>0</v>
      </c>
      <c r="S158" s="294">
        <v>0</v>
      </c>
      <c r="T158" s="294">
        <v>1351</v>
      </c>
      <c r="U158" s="294">
        <v>0</v>
      </c>
      <c r="V158" s="294">
        <v>0</v>
      </c>
      <c r="W158" s="294">
        <v>2055.63</v>
      </c>
      <c r="X158" s="294">
        <v>37824</v>
      </c>
      <c r="Y158" s="294">
        <v>1620063.27</v>
      </c>
      <c r="Z158" s="294">
        <v>645736.46999999892</v>
      </c>
      <c r="AA158" s="294">
        <v>5206.3500000000004</v>
      </c>
      <c r="AB158" s="294">
        <v>-3506.7200000000007</v>
      </c>
      <c r="AC158" s="294">
        <v>334362.34000000003</v>
      </c>
      <c r="AD158" s="294">
        <v>0</v>
      </c>
      <c r="AE158" s="294">
        <v>0</v>
      </c>
      <c r="AF158" s="294">
        <v>218015.71999999994</v>
      </c>
      <c r="AG158" s="294">
        <v>1711.9300000000026</v>
      </c>
      <c r="AH158" s="294">
        <v>0</v>
      </c>
      <c r="AI158" s="294">
        <v>0</v>
      </c>
      <c r="AJ158" s="294">
        <v>0</v>
      </c>
      <c r="AK158" s="294">
        <v>0</v>
      </c>
      <c r="AL158" s="294">
        <v>0</v>
      </c>
      <c r="AM158" s="294">
        <v>0</v>
      </c>
      <c r="AN158" s="294">
        <v>0</v>
      </c>
      <c r="AO158" s="294">
        <v>20431.86</v>
      </c>
      <c r="AP158" s="294">
        <v>3141.82</v>
      </c>
      <c r="AQ158" s="294">
        <v>2954.26</v>
      </c>
      <c r="AR158" s="294">
        <v>259505.39</v>
      </c>
      <c r="AS158" s="294">
        <v>434.5</v>
      </c>
      <c r="AT158" s="294">
        <v>120.19999999999997</v>
      </c>
      <c r="AU158" s="294">
        <v>557.67000000000007</v>
      </c>
      <c r="AV158" s="294">
        <v>5139.75</v>
      </c>
      <c r="AW158" s="294">
        <v>0</v>
      </c>
      <c r="AX158" s="294">
        <v>119322.73000000001</v>
      </c>
      <c r="AY158" s="294">
        <v>0</v>
      </c>
      <c r="AZ158" s="294">
        <v>5164.42</v>
      </c>
      <c r="BA158" s="294">
        <v>14516.189999999999</v>
      </c>
      <c r="BB158" s="294">
        <v>0</v>
      </c>
      <c r="BC158" s="294">
        <v>0</v>
      </c>
      <c r="BD158" s="294">
        <v>0</v>
      </c>
      <c r="BE158" s="294">
        <v>1632814.8799999987</v>
      </c>
      <c r="BF158" s="294">
        <v>48321.86999999977</v>
      </c>
      <c r="BG158" s="294">
        <v>-12751.609999998705</v>
      </c>
      <c r="BH158" s="294">
        <v>35570.260000001064</v>
      </c>
      <c r="BI158" s="294">
        <v>0</v>
      </c>
      <c r="BJ158" s="294">
        <v>0</v>
      </c>
      <c r="BK158" s="294">
        <v>0</v>
      </c>
      <c r="BL158" s="294">
        <v>0</v>
      </c>
      <c r="BM158" s="294">
        <v>0</v>
      </c>
      <c r="BN158" s="294">
        <v>0</v>
      </c>
      <c r="BO158" s="294">
        <v>0</v>
      </c>
      <c r="BP158" s="294">
        <v>0</v>
      </c>
      <c r="BQ158" s="294">
        <v>0</v>
      </c>
      <c r="BR158" s="294">
        <v>0</v>
      </c>
      <c r="BS158" s="294">
        <v>0</v>
      </c>
      <c r="BT158" s="294">
        <v>0</v>
      </c>
      <c r="BU158" s="294">
        <v>0</v>
      </c>
      <c r="BV158" s="294">
        <v>0</v>
      </c>
      <c r="BW158" s="294">
        <v>0</v>
      </c>
      <c r="BX158" s="294">
        <v>0</v>
      </c>
      <c r="BY158" s="294">
        <v>0</v>
      </c>
      <c r="BZ158" s="294">
        <v>0</v>
      </c>
      <c r="CA158" s="294">
        <v>0</v>
      </c>
      <c r="CB158" s="294">
        <v>0</v>
      </c>
      <c r="CC158" s="294">
        <v>0</v>
      </c>
      <c r="CD158" s="294">
        <v>35570.260000001064</v>
      </c>
      <c r="CE158" s="294">
        <v>0</v>
      </c>
      <c r="CF158" s="294">
        <v>0</v>
      </c>
      <c r="CG158" s="294">
        <v>0</v>
      </c>
      <c r="CH158" s="294">
        <v>0</v>
      </c>
      <c r="CI158" s="294">
        <f t="shared" si="2"/>
        <v>35570.260000001064</v>
      </c>
      <c r="CJ158" s="294">
        <v>255194.78</v>
      </c>
      <c r="CK158" s="294">
        <v>0</v>
      </c>
      <c r="CL158" s="294">
        <v>0</v>
      </c>
      <c r="CM158" s="294">
        <v>255194.78</v>
      </c>
      <c r="CN158" s="294">
        <v>0</v>
      </c>
      <c r="CO158" s="294">
        <v>0</v>
      </c>
      <c r="CP158" s="294">
        <v>1200.69</v>
      </c>
      <c r="CQ158" s="294">
        <v>0</v>
      </c>
      <c r="CR158" s="294">
        <v>-199944.58</v>
      </c>
      <c r="CS158" s="294">
        <v>56450.890000000014</v>
      </c>
      <c r="CT158" s="294">
        <v>0</v>
      </c>
      <c r="CU158" s="294">
        <v>0</v>
      </c>
      <c r="CV158" s="294">
        <v>0</v>
      </c>
      <c r="CW158" s="294">
        <v>0</v>
      </c>
      <c r="CX158" s="294"/>
      <c r="CY158" s="294"/>
      <c r="CZ158" s="294"/>
      <c r="DA158" s="294">
        <v>0</v>
      </c>
      <c r="DB158" s="294">
        <v>0</v>
      </c>
      <c r="DC158" s="294">
        <v>0</v>
      </c>
      <c r="DD158" s="294">
        <v>4056.44</v>
      </c>
      <c r="DE158" s="294">
        <v>0</v>
      </c>
      <c r="DF158" s="294">
        <v>0</v>
      </c>
      <c r="DG158" s="294">
        <v>0</v>
      </c>
      <c r="DH158" s="294">
        <v>-24937.07</v>
      </c>
      <c r="DI158" s="294">
        <v>0</v>
      </c>
      <c r="DJ158" s="294">
        <v>0</v>
      </c>
      <c r="DK158" s="294">
        <v>-20880.63</v>
      </c>
      <c r="DL158" s="294">
        <v>0</v>
      </c>
      <c r="DM158" s="294">
        <v>0</v>
      </c>
      <c r="DN158" s="294">
        <v>0</v>
      </c>
      <c r="DO158" s="294">
        <v>0</v>
      </c>
      <c r="DP158" s="294">
        <v>0</v>
      </c>
      <c r="DQ158" s="324">
        <v>0</v>
      </c>
      <c r="DR158" s="295">
        <v>1201526.0899999989</v>
      </c>
      <c r="DS158" s="325">
        <v>431288.7899999998</v>
      </c>
      <c r="DT158" s="295">
        <v>0</v>
      </c>
      <c r="DU158" s="295">
        <v>76075.770000000077</v>
      </c>
      <c r="DV158" s="295">
        <v>0</v>
      </c>
      <c r="DW158" s="295">
        <v>0</v>
      </c>
    </row>
    <row r="159" spans="1:127">
      <c r="A159" s="321">
        <v>3010</v>
      </c>
      <c r="B159" s="322" t="s">
        <v>462</v>
      </c>
      <c r="C159" s="321">
        <v>3010</v>
      </c>
      <c r="D159" s="323" t="s">
        <v>817</v>
      </c>
      <c r="E159" s="323" t="s">
        <v>539</v>
      </c>
      <c r="F159" s="323" t="s">
        <v>818</v>
      </c>
      <c r="G159" s="323" t="s">
        <v>537</v>
      </c>
      <c r="H159" s="294">
        <v>2546154.33</v>
      </c>
      <c r="I159" s="294">
        <v>0</v>
      </c>
      <c r="J159" s="294">
        <v>131882.99</v>
      </c>
      <c r="K159" s="294">
        <v>0</v>
      </c>
      <c r="L159" s="294">
        <v>293057</v>
      </c>
      <c r="M159" s="294">
        <v>200</v>
      </c>
      <c r="N159" s="294">
        <v>0</v>
      </c>
      <c r="O159" s="294">
        <v>0</v>
      </c>
      <c r="P159" s="294">
        <v>39971.630000000005</v>
      </c>
      <c r="Q159" s="294">
        <v>0</v>
      </c>
      <c r="R159" s="294">
        <v>0</v>
      </c>
      <c r="S159" s="294">
        <v>0</v>
      </c>
      <c r="T159" s="294">
        <v>43290.2</v>
      </c>
      <c r="U159" s="294">
        <v>5000</v>
      </c>
      <c r="V159" s="294">
        <v>0</v>
      </c>
      <c r="W159" s="294">
        <v>4443.13</v>
      </c>
      <c r="X159" s="294">
        <v>72520</v>
      </c>
      <c r="Y159" s="294">
        <v>3136519.2800000003</v>
      </c>
      <c r="Z159" s="294">
        <v>1114631.919999999</v>
      </c>
      <c r="AA159" s="294">
        <v>5305.96</v>
      </c>
      <c r="AB159" s="294">
        <v>609287.61</v>
      </c>
      <c r="AC159" s="294">
        <v>1.3969838619232178E-9</v>
      </c>
      <c r="AD159" s="294">
        <v>104.17</v>
      </c>
      <c r="AE159" s="294">
        <v>0</v>
      </c>
      <c r="AF159" s="294">
        <v>591568.77</v>
      </c>
      <c r="AG159" s="294">
        <v>38612.60000000002</v>
      </c>
      <c r="AH159" s="294">
        <v>7579.7</v>
      </c>
      <c r="AI159" s="294">
        <v>0</v>
      </c>
      <c r="AJ159" s="294">
        <v>0</v>
      </c>
      <c r="AK159" s="294">
        <v>16035.970000000001</v>
      </c>
      <c r="AL159" s="294">
        <v>19.95</v>
      </c>
      <c r="AM159" s="294">
        <v>0</v>
      </c>
      <c r="AN159" s="294">
        <v>10049.959999999999</v>
      </c>
      <c r="AO159" s="294">
        <v>44369.91</v>
      </c>
      <c r="AP159" s="294">
        <v>15367.06</v>
      </c>
      <c r="AQ159" s="294">
        <v>38625.380000000005</v>
      </c>
      <c r="AR159" s="294">
        <v>140238.72999999998</v>
      </c>
      <c r="AS159" s="294">
        <v>788.33</v>
      </c>
      <c r="AT159" s="294">
        <v>0</v>
      </c>
      <c r="AU159" s="294">
        <v>25658.429999999993</v>
      </c>
      <c r="AV159" s="294">
        <v>9471</v>
      </c>
      <c r="AW159" s="294">
        <v>1502</v>
      </c>
      <c r="AX159" s="294">
        <v>115265.12</v>
      </c>
      <c r="AY159" s="294">
        <v>143499.28</v>
      </c>
      <c r="AZ159" s="294">
        <v>10504.33</v>
      </c>
      <c r="BA159" s="294">
        <v>103606.08000000003</v>
      </c>
      <c r="BB159" s="294">
        <v>156618</v>
      </c>
      <c r="BC159" s="294">
        <v>0</v>
      </c>
      <c r="BD159" s="294">
        <v>0</v>
      </c>
      <c r="BE159" s="294">
        <v>3198710.2600000012</v>
      </c>
      <c r="BF159" s="294">
        <v>602578.22999999975</v>
      </c>
      <c r="BG159" s="294">
        <v>-62190.980000000913</v>
      </c>
      <c r="BH159" s="294">
        <v>540387.24999999884</v>
      </c>
      <c r="BI159" s="294">
        <v>8702.5</v>
      </c>
      <c r="BJ159" s="294">
        <v>0</v>
      </c>
      <c r="BK159" s="294">
        <v>0</v>
      </c>
      <c r="BL159" s="294">
        <v>8702.5</v>
      </c>
      <c r="BM159" s="294">
        <v>0</v>
      </c>
      <c r="BN159" s="294">
        <v>0</v>
      </c>
      <c r="BO159" s="294">
        <v>0</v>
      </c>
      <c r="BP159" s="294">
        <v>0</v>
      </c>
      <c r="BQ159" s="294">
        <v>0</v>
      </c>
      <c r="BR159" s="294">
        <v>0</v>
      </c>
      <c r="BS159" s="294">
        <v>8702.5</v>
      </c>
      <c r="BT159" s="294">
        <v>8702.5</v>
      </c>
      <c r="BU159" s="294">
        <v>0</v>
      </c>
      <c r="BV159" s="294">
        <v>0</v>
      </c>
      <c r="BW159" s="294">
        <v>0</v>
      </c>
      <c r="BX159" s="294">
        <v>0</v>
      </c>
      <c r="BY159" s="294">
        <v>0</v>
      </c>
      <c r="BZ159" s="294">
        <v>0</v>
      </c>
      <c r="CA159" s="294">
        <v>0</v>
      </c>
      <c r="CB159" s="294">
        <v>0</v>
      </c>
      <c r="CC159" s="294">
        <v>0</v>
      </c>
      <c r="CD159" s="294">
        <v>540387.24999999884</v>
      </c>
      <c r="CE159" s="294">
        <v>0</v>
      </c>
      <c r="CF159" s="294">
        <v>8702.5</v>
      </c>
      <c r="CG159" s="294">
        <v>0</v>
      </c>
      <c r="CH159" s="294">
        <v>0</v>
      </c>
      <c r="CI159" s="294">
        <f t="shared" si="2"/>
        <v>549089.74999999884</v>
      </c>
      <c r="CJ159" s="294">
        <v>734017.94</v>
      </c>
      <c r="CK159" s="294">
        <v>0</v>
      </c>
      <c r="CL159" s="294">
        <v>0</v>
      </c>
      <c r="CM159" s="294">
        <v>734017.94</v>
      </c>
      <c r="CN159" s="294">
        <v>0</v>
      </c>
      <c r="CO159" s="294">
        <v>0</v>
      </c>
      <c r="CP159" s="294">
        <v>25357.18</v>
      </c>
      <c r="CQ159" s="294">
        <v>0</v>
      </c>
      <c r="CR159" s="294">
        <v>-186276.76</v>
      </c>
      <c r="CS159" s="294">
        <v>573098.36</v>
      </c>
      <c r="CT159" s="294">
        <v>0</v>
      </c>
      <c r="CU159" s="294">
        <v>0</v>
      </c>
      <c r="CV159" s="294">
        <v>0</v>
      </c>
      <c r="CW159" s="294">
        <v>0</v>
      </c>
      <c r="CX159" s="294"/>
      <c r="CY159" s="294"/>
      <c r="CZ159" s="294"/>
      <c r="DA159" s="294">
        <v>0</v>
      </c>
      <c r="DB159" s="294">
        <v>0</v>
      </c>
      <c r="DC159" s="294">
        <v>0</v>
      </c>
      <c r="DD159" s="294">
        <v>17910.25</v>
      </c>
      <c r="DE159" s="294">
        <v>0</v>
      </c>
      <c r="DF159" s="294">
        <v>0</v>
      </c>
      <c r="DG159" s="294">
        <v>-38562.089999999997</v>
      </c>
      <c r="DH159" s="294">
        <v>-3356.77</v>
      </c>
      <c r="DI159" s="294">
        <v>0</v>
      </c>
      <c r="DJ159" s="294">
        <v>0</v>
      </c>
      <c r="DK159" s="294">
        <v>-24008.609999999997</v>
      </c>
      <c r="DL159" s="294">
        <v>0</v>
      </c>
      <c r="DM159" s="294">
        <v>0</v>
      </c>
      <c r="DN159" s="294">
        <v>0</v>
      </c>
      <c r="DO159" s="294">
        <v>0</v>
      </c>
      <c r="DP159" s="294">
        <v>0</v>
      </c>
      <c r="DQ159" s="324">
        <v>0</v>
      </c>
      <c r="DR159" s="295">
        <v>2359511.0300000003</v>
      </c>
      <c r="DS159" s="325">
        <v>839199.23000000091</v>
      </c>
      <c r="DT159" s="295">
        <v>143499.28</v>
      </c>
      <c r="DU159" s="295">
        <v>83261.83</v>
      </c>
      <c r="DV159" s="295">
        <v>5000</v>
      </c>
      <c r="DW159" s="295">
        <v>0</v>
      </c>
    </row>
    <row r="160" spans="1:127">
      <c r="A160" s="321">
        <v>4625</v>
      </c>
      <c r="B160" s="322" t="s">
        <v>463</v>
      </c>
      <c r="C160" s="321">
        <v>4625</v>
      </c>
      <c r="D160" s="323" t="s">
        <v>817</v>
      </c>
      <c r="E160" s="323" t="s">
        <v>543</v>
      </c>
      <c r="F160" s="323" t="s">
        <v>818</v>
      </c>
      <c r="G160" s="323" t="s">
        <v>537</v>
      </c>
      <c r="H160" s="294">
        <v>5299987</v>
      </c>
      <c r="I160" s="294">
        <v>0</v>
      </c>
      <c r="J160" s="294">
        <v>74838.97</v>
      </c>
      <c r="K160" s="294">
        <v>0</v>
      </c>
      <c r="L160" s="294">
        <v>376826</v>
      </c>
      <c r="M160" s="294">
        <v>210192.27</v>
      </c>
      <c r="N160" s="294">
        <v>115250</v>
      </c>
      <c r="O160" s="294">
        <v>0</v>
      </c>
      <c r="P160" s="294">
        <v>27995.989999999983</v>
      </c>
      <c r="Q160" s="294">
        <v>0</v>
      </c>
      <c r="R160" s="294">
        <v>0</v>
      </c>
      <c r="S160" s="294">
        <v>0</v>
      </c>
      <c r="T160" s="294">
        <v>11846.719999999998</v>
      </c>
      <c r="U160" s="294">
        <v>0</v>
      </c>
      <c r="V160" s="294">
        <v>0</v>
      </c>
      <c r="W160" s="294">
        <v>26343.88</v>
      </c>
      <c r="X160" s="294">
        <v>0</v>
      </c>
      <c r="Y160" s="294">
        <v>6143280.8299999991</v>
      </c>
      <c r="Z160" s="294">
        <v>3242896.41</v>
      </c>
      <c r="AA160" s="294">
        <v>0</v>
      </c>
      <c r="AB160" s="294">
        <v>625925.57999999996</v>
      </c>
      <c r="AC160" s="294">
        <v>220393.10000000003</v>
      </c>
      <c r="AD160" s="294">
        <v>485067.89</v>
      </c>
      <c r="AE160" s="294">
        <v>0</v>
      </c>
      <c r="AF160" s="294">
        <v>94732.449999999895</v>
      </c>
      <c r="AG160" s="294">
        <v>40237.410000000003</v>
      </c>
      <c r="AH160" s="294">
        <v>28053.410000000003</v>
      </c>
      <c r="AI160" s="294">
        <v>0</v>
      </c>
      <c r="AJ160" s="294">
        <v>0</v>
      </c>
      <c r="AK160" s="294">
        <v>376192.75000000012</v>
      </c>
      <c r="AL160" s="294">
        <v>660</v>
      </c>
      <c r="AM160" s="294">
        <v>2686.6099999999997</v>
      </c>
      <c r="AN160" s="294">
        <v>13590.67</v>
      </c>
      <c r="AO160" s="294">
        <v>74142.01999999999</v>
      </c>
      <c r="AP160" s="294">
        <v>13885.92</v>
      </c>
      <c r="AQ160" s="294">
        <v>16489.75</v>
      </c>
      <c r="AR160" s="294">
        <v>81269.499999999971</v>
      </c>
      <c r="AS160" s="294">
        <v>107763.79</v>
      </c>
      <c r="AT160" s="294">
        <v>44767.76999999999</v>
      </c>
      <c r="AU160" s="294">
        <v>212969.84999999977</v>
      </c>
      <c r="AV160" s="294">
        <v>4715.26</v>
      </c>
      <c r="AW160" s="294">
        <v>0</v>
      </c>
      <c r="AX160" s="294">
        <v>131202.98000000004</v>
      </c>
      <c r="AY160" s="294">
        <v>154570.74</v>
      </c>
      <c r="AZ160" s="294">
        <v>21566.51</v>
      </c>
      <c r="BA160" s="294">
        <v>49367.070000000007</v>
      </c>
      <c r="BB160" s="294">
        <v>0</v>
      </c>
      <c r="BC160" s="294">
        <v>0</v>
      </c>
      <c r="BD160" s="294">
        <v>0</v>
      </c>
      <c r="BE160" s="294">
        <v>6043147.4400000004</v>
      </c>
      <c r="BF160" s="294">
        <v>311754.89999999991</v>
      </c>
      <c r="BG160" s="294">
        <v>100133.38999999873</v>
      </c>
      <c r="BH160" s="294">
        <v>411888.28999999864</v>
      </c>
      <c r="BI160" s="294">
        <v>0</v>
      </c>
      <c r="BJ160" s="294">
        <v>0</v>
      </c>
      <c r="BK160" s="294">
        <v>0</v>
      </c>
      <c r="BL160" s="294">
        <v>0</v>
      </c>
      <c r="BM160" s="294">
        <v>0</v>
      </c>
      <c r="BN160" s="294">
        <v>0</v>
      </c>
      <c r="BO160" s="294">
        <v>0</v>
      </c>
      <c r="BP160" s="294">
        <v>0</v>
      </c>
      <c r="BQ160" s="294">
        <v>0</v>
      </c>
      <c r="BR160" s="294">
        <v>0</v>
      </c>
      <c r="BS160" s="294">
        <v>0</v>
      </c>
      <c r="BT160" s="294">
        <v>0</v>
      </c>
      <c r="BU160" s="294">
        <v>0</v>
      </c>
      <c r="BV160" s="294">
        <v>0</v>
      </c>
      <c r="BW160" s="294">
        <v>0</v>
      </c>
      <c r="BX160" s="294">
        <v>0</v>
      </c>
      <c r="BY160" s="294">
        <v>0</v>
      </c>
      <c r="BZ160" s="294">
        <v>0</v>
      </c>
      <c r="CA160" s="294">
        <v>0</v>
      </c>
      <c r="CB160" s="294">
        <v>0</v>
      </c>
      <c r="CC160" s="294">
        <v>0</v>
      </c>
      <c r="CD160" s="294">
        <v>411888.28999999864</v>
      </c>
      <c r="CE160" s="294">
        <v>0</v>
      </c>
      <c r="CF160" s="294">
        <v>0</v>
      </c>
      <c r="CG160" s="294">
        <v>0</v>
      </c>
      <c r="CH160" s="294">
        <v>0</v>
      </c>
      <c r="CI160" s="294">
        <f t="shared" si="2"/>
        <v>411888.28999999864</v>
      </c>
      <c r="CJ160" s="294">
        <v>391081.01</v>
      </c>
      <c r="CK160" s="294">
        <v>0</v>
      </c>
      <c r="CL160" s="294">
        <v>0</v>
      </c>
      <c r="CM160" s="294">
        <v>391081.01</v>
      </c>
      <c r="CN160" s="294">
        <v>0</v>
      </c>
      <c r="CO160" s="294">
        <v>0</v>
      </c>
      <c r="CP160" s="294">
        <v>13522.71</v>
      </c>
      <c r="CQ160" s="294">
        <v>5010.57</v>
      </c>
      <c r="CR160" s="294">
        <v>-7276.6100000000006</v>
      </c>
      <c r="CS160" s="294">
        <v>402337.68000000005</v>
      </c>
      <c r="CT160" s="294">
        <v>0</v>
      </c>
      <c r="CU160" s="294">
        <v>0</v>
      </c>
      <c r="CV160" s="294">
        <v>0</v>
      </c>
      <c r="CW160" s="294">
        <v>0</v>
      </c>
      <c r="CX160" s="294"/>
      <c r="CY160" s="294"/>
      <c r="CZ160" s="294"/>
      <c r="DA160" s="294">
        <v>0</v>
      </c>
      <c r="DB160" s="294">
        <v>0</v>
      </c>
      <c r="DC160" s="294">
        <v>0</v>
      </c>
      <c r="DD160" s="294">
        <v>9550.6</v>
      </c>
      <c r="DE160" s="294">
        <v>0</v>
      </c>
      <c r="DF160" s="294">
        <v>0</v>
      </c>
      <c r="DG160" s="294">
        <v>0</v>
      </c>
      <c r="DH160" s="294">
        <v>0</v>
      </c>
      <c r="DI160" s="294">
        <v>0</v>
      </c>
      <c r="DJ160" s="294">
        <v>0</v>
      </c>
      <c r="DK160" s="294">
        <v>9550.6</v>
      </c>
      <c r="DL160" s="294">
        <v>0</v>
      </c>
      <c r="DM160" s="294">
        <v>0</v>
      </c>
      <c r="DN160" s="294">
        <v>0</v>
      </c>
      <c r="DO160" s="294">
        <v>0</v>
      </c>
      <c r="DP160" s="294">
        <v>0</v>
      </c>
      <c r="DQ160" s="324">
        <v>9.9999999511055648E-3</v>
      </c>
      <c r="DR160" s="295">
        <v>4709252.8400000008</v>
      </c>
      <c r="DS160" s="325">
        <v>1333894.5999999996</v>
      </c>
      <c r="DT160" s="295">
        <v>154570.74</v>
      </c>
      <c r="DU160" s="295">
        <v>39842.709999999977</v>
      </c>
      <c r="DV160" s="295">
        <v>0</v>
      </c>
      <c r="DW160" s="295">
        <v>0</v>
      </c>
    </row>
    <row r="161" spans="1:127">
      <c r="A161" s="321">
        <v>3377</v>
      </c>
      <c r="B161" s="322" t="s">
        <v>373</v>
      </c>
      <c r="C161" s="321">
        <v>3377</v>
      </c>
      <c r="D161" s="323" t="s">
        <v>817</v>
      </c>
      <c r="E161" s="323" t="s">
        <v>539</v>
      </c>
      <c r="F161" s="323" t="s">
        <v>818</v>
      </c>
      <c r="G161" s="323" t="s">
        <v>537</v>
      </c>
      <c r="H161" s="294">
        <v>1317708.3</v>
      </c>
      <c r="I161" s="294">
        <v>0</v>
      </c>
      <c r="J161" s="294">
        <v>23696.77</v>
      </c>
      <c r="K161" s="294">
        <v>0</v>
      </c>
      <c r="L161" s="294">
        <v>193490</v>
      </c>
      <c r="M161" s="294">
        <v>1428.22</v>
      </c>
      <c r="N161" s="294">
        <v>0</v>
      </c>
      <c r="O161" s="294">
        <v>0</v>
      </c>
      <c r="P161" s="294">
        <v>8598.6400000000012</v>
      </c>
      <c r="Q161" s="294">
        <v>0</v>
      </c>
      <c r="R161" s="294">
        <v>0</v>
      </c>
      <c r="S161" s="294">
        <v>0</v>
      </c>
      <c r="T161" s="294">
        <v>5126.83</v>
      </c>
      <c r="U161" s="294">
        <v>19480.23</v>
      </c>
      <c r="V161" s="294">
        <v>0</v>
      </c>
      <c r="W161" s="294">
        <v>8143.75</v>
      </c>
      <c r="X161" s="294">
        <v>28198</v>
      </c>
      <c r="Y161" s="294">
        <v>1605870.74</v>
      </c>
      <c r="Z161" s="294">
        <v>737273.24</v>
      </c>
      <c r="AA161" s="294">
        <v>0</v>
      </c>
      <c r="AB161" s="294">
        <v>227122.71</v>
      </c>
      <c r="AC161" s="294">
        <v>55814.13</v>
      </c>
      <c r="AD161" s="294">
        <v>114858.79</v>
      </c>
      <c r="AE161" s="294">
        <v>0</v>
      </c>
      <c r="AF161" s="294">
        <v>37464.720000000001</v>
      </c>
      <c r="AG161" s="294">
        <v>550</v>
      </c>
      <c r="AH161" s="294">
        <v>2328.25</v>
      </c>
      <c r="AI161" s="294">
        <v>0</v>
      </c>
      <c r="AJ161" s="294">
        <v>4269.25</v>
      </c>
      <c r="AK161" s="294">
        <v>20501.73</v>
      </c>
      <c r="AL161" s="294">
        <v>992.36</v>
      </c>
      <c r="AM161" s="294">
        <v>585</v>
      </c>
      <c r="AN161" s="294">
        <v>3278.97</v>
      </c>
      <c r="AO161" s="294">
        <v>22154.01</v>
      </c>
      <c r="AP161" s="294">
        <v>4080.97</v>
      </c>
      <c r="AQ161" s="294">
        <v>9906.32</v>
      </c>
      <c r="AR161" s="294">
        <v>54271.83</v>
      </c>
      <c r="AS161" s="294">
        <v>0</v>
      </c>
      <c r="AT161" s="294">
        <v>0</v>
      </c>
      <c r="AU161" s="294">
        <v>97381.94</v>
      </c>
      <c r="AV161" s="294">
        <v>0</v>
      </c>
      <c r="AW161" s="294">
        <v>3890.2</v>
      </c>
      <c r="AX161" s="294">
        <v>110967.36</v>
      </c>
      <c r="AY161" s="294">
        <v>41522.85</v>
      </c>
      <c r="AZ161" s="294">
        <v>7163.23</v>
      </c>
      <c r="BA161" s="294">
        <v>63400.31</v>
      </c>
      <c r="BB161" s="294">
        <v>0</v>
      </c>
      <c r="BC161" s="294">
        <v>0</v>
      </c>
      <c r="BD161" s="294">
        <v>0</v>
      </c>
      <c r="BE161" s="294">
        <v>1619778.1700000002</v>
      </c>
      <c r="BF161" s="294">
        <v>258039.07000000007</v>
      </c>
      <c r="BG161" s="294">
        <v>-13907.430000000168</v>
      </c>
      <c r="BH161" s="294">
        <v>244131.6399999999</v>
      </c>
      <c r="BI161" s="294">
        <v>0</v>
      </c>
      <c r="BJ161" s="294">
        <v>0</v>
      </c>
      <c r="BK161" s="294">
        <v>0</v>
      </c>
      <c r="BL161" s="294">
        <v>0</v>
      </c>
      <c r="BM161" s="294">
        <v>0</v>
      </c>
      <c r="BN161" s="294">
        <v>0</v>
      </c>
      <c r="BO161" s="294">
        <v>0</v>
      </c>
      <c r="BP161" s="294">
        <v>0</v>
      </c>
      <c r="BQ161" s="294">
        <v>0</v>
      </c>
      <c r="BR161" s="294">
        <v>0</v>
      </c>
      <c r="BS161" s="294">
        <v>0</v>
      </c>
      <c r="BT161" s="294">
        <v>0</v>
      </c>
      <c r="BU161" s="294">
        <v>0</v>
      </c>
      <c r="BV161" s="294">
        <v>0</v>
      </c>
      <c r="BW161" s="294">
        <v>0</v>
      </c>
      <c r="BX161" s="294">
        <v>0</v>
      </c>
      <c r="BY161" s="294">
        <v>0</v>
      </c>
      <c r="BZ161" s="294">
        <v>0</v>
      </c>
      <c r="CA161" s="294">
        <v>0</v>
      </c>
      <c r="CB161" s="294">
        <v>0</v>
      </c>
      <c r="CC161" s="294">
        <v>0</v>
      </c>
      <c r="CD161" s="294">
        <v>244131.6399999999</v>
      </c>
      <c r="CE161" s="294">
        <v>0</v>
      </c>
      <c r="CF161" s="294">
        <v>0</v>
      </c>
      <c r="CG161" s="294">
        <v>0</v>
      </c>
      <c r="CH161" s="294">
        <v>0</v>
      </c>
      <c r="CI161" s="294">
        <f t="shared" si="2"/>
        <v>244131.6399999999</v>
      </c>
      <c r="CJ161" s="294">
        <v>378436.09</v>
      </c>
      <c r="CK161" s="294">
        <v>8196.7199999999993</v>
      </c>
      <c r="CL161" s="294">
        <v>0</v>
      </c>
      <c r="CM161" s="294">
        <v>370239.37000000005</v>
      </c>
      <c r="CN161" s="294">
        <v>0</v>
      </c>
      <c r="CO161" s="294">
        <v>0</v>
      </c>
      <c r="CP161" s="294">
        <v>2628.42</v>
      </c>
      <c r="CQ161" s="294">
        <v>0</v>
      </c>
      <c r="CR161" s="294">
        <v>-99811.99</v>
      </c>
      <c r="CS161" s="294">
        <v>273055.80000000005</v>
      </c>
      <c r="CT161" s="294">
        <v>0</v>
      </c>
      <c r="CU161" s="294">
        <v>0</v>
      </c>
      <c r="CV161" s="294">
        <v>0</v>
      </c>
      <c r="CW161" s="294">
        <v>0</v>
      </c>
      <c r="CX161" s="294"/>
      <c r="CY161" s="294"/>
      <c r="CZ161" s="294"/>
      <c r="DA161" s="294">
        <v>0</v>
      </c>
      <c r="DB161" s="294">
        <v>0</v>
      </c>
      <c r="DC161" s="294">
        <v>0</v>
      </c>
      <c r="DD161" s="294">
        <v>3.2</v>
      </c>
      <c r="DE161" s="294">
        <v>0</v>
      </c>
      <c r="DF161" s="294">
        <v>0</v>
      </c>
      <c r="DG161" s="294">
        <v>-4089.79</v>
      </c>
      <c r="DH161" s="294">
        <v>-24837.94</v>
      </c>
      <c r="DI161" s="294">
        <v>0</v>
      </c>
      <c r="DJ161" s="294">
        <v>0</v>
      </c>
      <c r="DK161" s="294">
        <v>-28924.53</v>
      </c>
      <c r="DL161" s="294">
        <v>0</v>
      </c>
      <c r="DM161" s="294">
        <v>0</v>
      </c>
      <c r="DN161" s="294">
        <v>0</v>
      </c>
      <c r="DO161" s="294">
        <v>0</v>
      </c>
      <c r="DP161" s="294">
        <v>0</v>
      </c>
      <c r="DQ161" s="324">
        <v>0.36999999993713573</v>
      </c>
      <c r="DR161" s="295">
        <v>1173083.5899999999</v>
      </c>
      <c r="DS161" s="325">
        <v>446694.58000000031</v>
      </c>
      <c r="DT161" s="295">
        <v>41522.85</v>
      </c>
      <c r="DU161" s="295">
        <v>13725.470000000001</v>
      </c>
      <c r="DV161" s="295">
        <v>19480.23</v>
      </c>
      <c r="DW161" s="295">
        <v>0</v>
      </c>
    </row>
    <row r="162" spans="1:127">
      <c r="A162" s="321">
        <v>3371</v>
      </c>
      <c r="B162" s="322" t="s">
        <v>374</v>
      </c>
      <c r="C162" s="321">
        <v>3371</v>
      </c>
      <c r="D162" s="323" t="s">
        <v>817</v>
      </c>
      <c r="E162" s="323" t="s">
        <v>539</v>
      </c>
      <c r="F162" s="323" t="s">
        <v>818</v>
      </c>
      <c r="G162" s="323" t="s">
        <v>537</v>
      </c>
      <c r="H162" s="294">
        <v>1465130.96</v>
      </c>
      <c r="I162" s="294">
        <v>0</v>
      </c>
      <c r="J162" s="294">
        <v>56720.23</v>
      </c>
      <c r="K162" s="294">
        <v>0</v>
      </c>
      <c r="L162" s="294">
        <v>82420</v>
      </c>
      <c r="M162" s="294">
        <v>5000</v>
      </c>
      <c r="N162" s="294">
        <v>491.43</v>
      </c>
      <c r="O162" s="294">
        <v>0</v>
      </c>
      <c r="P162" s="294">
        <v>117807.65</v>
      </c>
      <c r="Q162" s="294">
        <v>0</v>
      </c>
      <c r="R162" s="294">
        <v>0</v>
      </c>
      <c r="S162" s="294">
        <v>0</v>
      </c>
      <c r="T162" s="294">
        <v>401.86</v>
      </c>
      <c r="U162" s="294">
        <v>0</v>
      </c>
      <c r="V162" s="294">
        <v>0</v>
      </c>
      <c r="W162" s="294">
        <v>3006.25</v>
      </c>
      <c r="X162" s="294">
        <v>110975</v>
      </c>
      <c r="Y162" s="294">
        <v>1841953.38</v>
      </c>
      <c r="Z162" s="294">
        <v>775860.19</v>
      </c>
      <c r="AA162" s="294">
        <v>0</v>
      </c>
      <c r="AB162" s="294">
        <v>288528.45</v>
      </c>
      <c r="AC162" s="294">
        <v>71556.7</v>
      </c>
      <c r="AD162" s="294">
        <v>94841.600000000006</v>
      </c>
      <c r="AE162" s="294">
        <v>53613.68</v>
      </c>
      <c r="AF162" s="294">
        <v>58094.95</v>
      </c>
      <c r="AG162" s="294">
        <v>4826.3999999999996</v>
      </c>
      <c r="AH162" s="294">
        <v>4504.6000000000004</v>
      </c>
      <c r="AI162" s="294">
        <v>0</v>
      </c>
      <c r="AJ162" s="294">
        <v>0</v>
      </c>
      <c r="AK162" s="294">
        <v>12792.050000000001</v>
      </c>
      <c r="AL162" s="294">
        <v>2363.6799999999998</v>
      </c>
      <c r="AM162" s="294">
        <v>3715.66</v>
      </c>
      <c r="AN162" s="294">
        <v>4385.1000000000004</v>
      </c>
      <c r="AO162" s="294">
        <v>26001.18</v>
      </c>
      <c r="AP162" s="294">
        <v>18761.88</v>
      </c>
      <c r="AQ162" s="294">
        <v>6568.58</v>
      </c>
      <c r="AR162" s="294">
        <v>17184.730000000003</v>
      </c>
      <c r="AS162" s="294">
        <v>11237.74</v>
      </c>
      <c r="AT162" s="294">
        <v>0</v>
      </c>
      <c r="AU162" s="294">
        <v>28681.279999999999</v>
      </c>
      <c r="AV162" s="294">
        <v>5139.75</v>
      </c>
      <c r="AW162" s="294">
        <v>0</v>
      </c>
      <c r="AX162" s="294">
        <v>53739.53</v>
      </c>
      <c r="AY162" s="294">
        <v>22211.85</v>
      </c>
      <c r="AZ162" s="294">
        <v>52990.43</v>
      </c>
      <c r="BA162" s="294">
        <v>94241.86</v>
      </c>
      <c r="BB162" s="294">
        <v>0</v>
      </c>
      <c r="BC162" s="294">
        <v>0</v>
      </c>
      <c r="BD162" s="294">
        <v>0</v>
      </c>
      <c r="BE162" s="294">
        <v>1711841.8699999999</v>
      </c>
      <c r="BF162" s="294">
        <v>91234.800000000076</v>
      </c>
      <c r="BG162" s="294">
        <v>130111.51000000001</v>
      </c>
      <c r="BH162" s="294">
        <v>221346.31000000008</v>
      </c>
      <c r="BI162" s="294">
        <v>0</v>
      </c>
      <c r="BJ162" s="294">
        <v>0</v>
      </c>
      <c r="BK162" s="294">
        <v>0</v>
      </c>
      <c r="BL162" s="294">
        <v>0</v>
      </c>
      <c r="BM162" s="294">
        <v>0</v>
      </c>
      <c r="BN162" s="294">
        <v>0</v>
      </c>
      <c r="BO162" s="294">
        <v>0</v>
      </c>
      <c r="BP162" s="294">
        <v>0</v>
      </c>
      <c r="BQ162" s="294">
        <v>0</v>
      </c>
      <c r="BR162" s="294">
        <v>0</v>
      </c>
      <c r="BS162" s="294">
        <v>0</v>
      </c>
      <c r="BT162" s="294">
        <v>0</v>
      </c>
      <c r="BU162" s="294">
        <v>0</v>
      </c>
      <c r="BV162" s="294">
        <v>0</v>
      </c>
      <c r="BW162" s="294">
        <v>0</v>
      </c>
      <c r="BX162" s="294">
        <v>0</v>
      </c>
      <c r="BY162" s="294">
        <v>0</v>
      </c>
      <c r="BZ162" s="294">
        <v>0</v>
      </c>
      <c r="CA162" s="294">
        <v>0</v>
      </c>
      <c r="CB162" s="294">
        <v>0</v>
      </c>
      <c r="CC162" s="294">
        <v>0</v>
      </c>
      <c r="CD162" s="294">
        <v>221346.31000000008</v>
      </c>
      <c r="CE162" s="294">
        <v>0</v>
      </c>
      <c r="CF162" s="294">
        <v>0</v>
      </c>
      <c r="CG162" s="294">
        <v>0</v>
      </c>
      <c r="CH162" s="294">
        <v>0</v>
      </c>
      <c r="CI162" s="294">
        <f t="shared" si="2"/>
        <v>221346.31000000008</v>
      </c>
      <c r="CJ162" s="294">
        <v>279501.89</v>
      </c>
      <c r="CK162" s="294">
        <v>117846.54</v>
      </c>
      <c r="CL162" s="294">
        <v>253.09</v>
      </c>
      <c r="CM162" s="294">
        <v>161908.44000000003</v>
      </c>
      <c r="CN162" s="294">
        <v>0</v>
      </c>
      <c r="CO162" s="294">
        <v>0</v>
      </c>
      <c r="CP162" s="294">
        <v>3533.51</v>
      </c>
      <c r="CQ162" s="294">
        <v>-1904.22</v>
      </c>
      <c r="CR162" s="294">
        <v>3406.76</v>
      </c>
      <c r="CS162" s="294">
        <v>166944.49000000005</v>
      </c>
      <c r="CT162" s="294">
        <v>0</v>
      </c>
      <c r="CU162" s="294">
        <v>0</v>
      </c>
      <c r="CV162" s="294">
        <v>0</v>
      </c>
      <c r="CW162" s="294">
        <v>0</v>
      </c>
      <c r="CX162" s="294"/>
      <c r="CY162" s="294"/>
      <c r="CZ162" s="294"/>
      <c r="DA162" s="294">
        <v>0</v>
      </c>
      <c r="DB162" s="294">
        <v>0</v>
      </c>
      <c r="DC162" s="294">
        <v>0</v>
      </c>
      <c r="DD162" s="294">
        <v>0</v>
      </c>
      <c r="DE162" s="294">
        <v>0</v>
      </c>
      <c r="DF162" s="294">
        <v>0</v>
      </c>
      <c r="DG162" s="294">
        <v>-6715.92</v>
      </c>
      <c r="DH162" s="294">
        <v>0</v>
      </c>
      <c r="DI162" s="294">
        <v>0</v>
      </c>
      <c r="DJ162" s="294">
        <v>0</v>
      </c>
      <c r="DK162" s="294">
        <v>-6715.92</v>
      </c>
      <c r="DL162" s="294">
        <v>61117.8</v>
      </c>
      <c r="DM162" s="294">
        <v>0</v>
      </c>
      <c r="DN162" s="294">
        <v>0</v>
      </c>
      <c r="DO162" s="294">
        <v>0</v>
      </c>
      <c r="DP162" s="294">
        <v>0</v>
      </c>
      <c r="DQ162" s="324">
        <v>-6.0000000055879354E-2</v>
      </c>
      <c r="DR162" s="295">
        <v>1347321.9699999997</v>
      </c>
      <c r="DS162" s="325">
        <v>364519.90000000014</v>
      </c>
      <c r="DT162" s="295">
        <v>22211.85</v>
      </c>
      <c r="DU162" s="295">
        <v>118209.51</v>
      </c>
      <c r="DV162" s="295">
        <v>0</v>
      </c>
      <c r="DW162" s="295">
        <v>61117.8</v>
      </c>
    </row>
    <row r="163" spans="1:127">
      <c r="A163" s="321">
        <v>3307</v>
      </c>
      <c r="B163" s="322" t="s">
        <v>464</v>
      </c>
      <c r="C163" s="321">
        <v>3307</v>
      </c>
      <c r="D163" s="323" t="s">
        <v>817</v>
      </c>
      <c r="E163" s="323" t="s">
        <v>539</v>
      </c>
      <c r="F163" s="323" t="s">
        <v>818</v>
      </c>
      <c r="G163" s="323" t="s">
        <v>537</v>
      </c>
      <c r="H163" s="294">
        <v>1836991</v>
      </c>
      <c r="I163" s="294">
        <v>0</v>
      </c>
      <c r="J163" s="294">
        <v>116231</v>
      </c>
      <c r="K163" s="294">
        <v>0</v>
      </c>
      <c r="L163" s="294">
        <v>141050</v>
      </c>
      <c r="M163" s="294">
        <v>0</v>
      </c>
      <c r="N163" s="294">
        <v>0</v>
      </c>
      <c r="O163" s="294">
        <v>0</v>
      </c>
      <c r="P163" s="294">
        <v>86932</v>
      </c>
      <c r="Q163" s="294">
        <v>30360</v>
      </c>
      <c r="R163" s="294">
        <v>0</v>
      </c>
      <c r="S163" s="294">
        <v>0</v>
      </c>
      <c r="T163" s="294">
        <v>59184</v>
      </c>
      <c r="U163" s="294">
        <v>0</v>
      </c>
      <c r="V163" s="294">
        <v>0</v>
      </c>
      <c r="W163" s="294">
        <v>7884</v>
      </c>
      <c r="X163" s="294">
        <v>19611</v>
      </c>
      <c r="Y163" s="294">
        <v>2298243</v>
      </c>
      <c r="Z163" s="294">
        <v>1046416</v>
      </c>
      <c r="AA163" s="294">
        <v>262</v>
      </c>
      <c r="AB163" s="294">
        <v>581</v>
      </c>
      <c r="AC163" s="294">
        <v>410550</v>
      </c>
      <c r="AD163" s="294">
        <v>0</v>
      </c>
      <c r="AE163" s="294">
        <v>0</v>
      </c>
      <c r="AF163" s="294">
        <v>195750</v>
      </c>
      <c r="AG163" s="294">
        <v>1189</v>
      </c>
      <c r="AH163" s="294">
        <v>1464</v>
      </c>
      <c r="AI163" s="294">
        <v>0</v>
      </c>
      <c r="AJ163" s="294">
        <v>0</v>
      </c>
      <c r="AK163" s="294">
        <v>35430</v>
      </c>
      <c r="AL163" s="294">
        <v>1736</v>
      </c>
      <c r="AM163" s="294">
        <v>572</v>
      </c>
      <c r="AN163" s="294">
        <v>6462</v>
      </c>
      <c r="AO163" s="294">
        <v>32810</v>
      </c>
      <c r="AP163" s="294">
        <v>4399</v>
      </c>
      <c r="AQ163" s="294">
        <v>26006</v>
      </c>
      <c r="AR163" s="294">
        <v>92075</v>
      </c>
      <c r="AS163" s="294">
        <v>0</v>
      </c>
      <c r="AT163" s="294">
        <v>7307</v>
      </c>
      <c r="AU163" s="294">
        <v>23522</v>
      </c>
      <c r="AV163" s="294">
        <v>9471</v>
      </c>
      <c r="AW163" s="294">
        <v>0</v>
      </c>
      <c r="AX163" s="294">
        <v>152812</v>
      </c>
      <c r="AY163" s="294">
        <v>94246</v>
      </c>
      <c r="AZ163" s="294">
        <v>9050</v>
      </c>
      <c r="BA163" s="294">
        <v>48506</v>
      </c>
      <c r="BB163" s="294">
        <v>0</v>
      </c>
      <c r="BC163" s="294">
        <v>0</v>
      </c>
      <c r="BD163" s="294">
        <v>0</v>
      </c>
      <c r="BE163" s="294">
        <v>2200616</v>
      </c>
      <c r="BF163" s="294">
        <v>208225</v>
      </c>
      <c r="BG163" s="294">
        <v>97627</v>
      </c>
      <c r="BH163" s="294">
        <v>305852</v>
      </c>
      <c r="BI163" s="294">
        <v>0</v>
      </c>
      <c r="BJ163" s="294">
        <v>0</v>
      </c>
      <c r="BK163" s="294">
        <v>0</v>
      </c>
      <c r="BL163" s="294">
        <v>0</v>
      </c>
      <c r="BM163" s="294">
        <v>0</v>
      </c>
      <c r="BN163" s="294">
        <v>0</v>
      </c>
      <c r="BO163" s="294">
        <v>0</v>
      </c>
      <c r="BP163" s="294">
        <v>0</v>
      </c>
      <c r="BQ163" s="294">
        <v>0</v>
      </c>
      <c r="BR163" s="294">
        <v>0</v>
      </c>
      <c r="BS163" s="294">
        <v>0</v>
      </c>
      <c r="BT163" s="294">
        <v>0</v>
      </c>
      <c r="BU163" s="294">
        <v>0</v>
      </c>
      <c r="BV163" s="294">
        <v>0</v>
      </c>
      <c r="BW163" s="294">
        <v>0</v>
      </c>
      <c r="BX163" s="294">
        <v>0</v>
      </c>
      <c r="BY163" s="294">
        <v>0</v>
      </c>
      <c r="BZ163" s="294">
        <v>0</v>
      </c>
      <c r="CA163" s="294">
        <v>0</v>
      </c>
      <c r="CB163" s="294">
        <v>0</v>
      </c>
      <c r="CC163" s="294">
        <v>0</v>
      </c>
      <c r="CD163" s="294">
        <v>305852</v>
      </c>
      <c r="CE163" s="294">
        <v>0</v>
      </c>
      <c r="CF163" s="294">
        <v>0</v>
      </c>
      <c r="CG163" s="294">
        <v>0</v>
      </c>
      <c r="CH163" s="294">
        <v>0</v>
      </c>
      <c r="CI163" s="294">
        <f t="shared" si="2"/>
        <v>305852</v>
      </c>
      <c r="CJ163" s="294">
        <v>516104</v>
      </c>
      <c r="CK163" s="294">
        <v>0</v>
      </c>
      <c r="CL163" s="294">
        <v>0</v>
      </c>
      <c r="CM163" s="294">
        <v>516104</v>
      </c>
      <c r="CN163" s="294">
        <v>0</v>
      </c>
      <c r="CO163" s="294">
        <v>0</v>
      </c>
      <c r="CP163" s="294">
        <v>0</v>
      </c>
      <c r="CQ163" s="294">
        <v>0</v>
      </c>
      <c r="CR163" s="294">
        <v>-217015</v>
      </c>
      <c r="CS163" s="294">
        <v>299089</v>
      </c>
      <c r="CT163" s="294">
        <v>0</v>
      </c>
      <c r="CU163" s="294">
        <v>0</v>
      </c>
      <c r="CV163" s="294">
        <v>0</v>
      </c>
      <c r="CW163" s="294">
        <v>0</v>
      </c>
      <c r="CX163" s="294"/>
      <c r="CY163" s="294"/>
      <c r="CZ163" s="294"/>
      <c r="DA163" s="294">
        <v>0</v>
      </c>
      <c r="DB163" s="294">
        <v>0</v>
      </c>
      <c r="DC163" s="294">
        <v>0</v>
      </c>
      <c r="DD163" s="294">
        <v>6762</v>
      </c>
      <c r="DE163" s="294">
        <v>0</v>
      </c>
      <c r="DF163" s="294">
        <v>0</v>
      </c>
      <c r="DG163" s="294">
        <v>0</v>
      </c>
      <c r="DH163" s="294">
        <v>0</v>
      </c>
      <c r="DI163" s="294">
        <v>0</v>
      </c>
      <c r="DJ163" s="294">
        <v>0</v>
      </c>
      <c r="DK163" s="294">
        <v>6762</v>
      </c>
      <c r="DL163" s="294">
        <v>0</v>
      </c>
      <c r="DM163" s="294">
        <v>0</v>
      </c>
      <c r="DN163" s="294">
        <v>0</v>
      </c>
      <c r="DO163" s="294">
        <v>0</v>
      </c>
      <c r="DP163" s="294">
        <v>0</v>
      </c>
      <c r="DQ163" s="324">
        <v>0.01</v>
      </c>
      <c r="DR163" s="295">
        <v>1654748</v>
      </c>
      <c r="DS163" s="325">
        <v>545868</v>
      </c>
      <c r="DT163" s="295">
        <v>94246</v>
      </c>
      <c r="DU163" s="295">
        <v>176476</v>
      </c>
      <c r="DV163" s="295">
        <v>0</v>
      </c>
      <c r="DW163" s="295">
        <v>0</v>
      </c>
    </row>
    <row r="164" spans="1:127">
      <c r="A164" s="321">
        <v>3361</v>
      </c>
      <c r="B164" s="322" t="s">
        <v>515</v>
      </c>
      <c r="C164" s="321">
        <v>3361</v>
      </c>
      <c r="D164" s="323" t="s">
        <v>817</v>
      </c>
      <c r="E164" s="323" t="s">
        <v>539</v>
      </c>
      <c r="F164" s="323" t="s">
        <v>818</v>
      </c>
      <c r="G164" s="323" t="s">
        <v>537</v>
      </c>
      <c r="H164" s="294">
        <v>2062659.83</v>
      </c>
      <c r="I164" s="294">
        <v>0</v>
      </c>
      <c r="J164" s="294">
        <v>28312.73</v>
      </c>
      <c r="K164" s="294">
        <v>0</v>
      </c>
      <c r="L164" s="294">
        <v>229400</v>
      </c>
      <c r="M164" s="294">
        <v>3256.93</v>
      </c>
      <c r="N164" s="294">
        <v>0</v>
      </c>
      <c r="O164" s="294">
        <v>0</v>
      </c>
      <c r="P164" s="294">
        <v>46592.229999999996</v>
      </c>
      <c r="Q164" s="294">
        <v>39590.47</v>
      </c>
      <c r="R164" s="294">
        <v>0</v>
      </c>
      <c r="S164" s="294">
        <v>0</v>
      </c>
      <c r="T164" s="294">
        <v>26147.370000000003</v>
      </c>
      <c r="U164" s="294">
        <v>4864.0200000000004</v>
      </c>
      <c r="V164" s="294">
        <v>0</v>
      </c>
      <c r="W164" s="294">
        <v>10275</v>
      </c>
      <c r="X164" s="294">
        <v>54911</v>
      </c>
      <c r="Y164" s="294">
        <v>2506009.5800000005</v>
      </c>
      <c r="Z164" s="294">
        <v>1165472.5699999984</v>
      </c>
      <c r="AA164" s="294">
        <v>0</v>
      </c>
      <c r="AB164" s="294">
        <v>441932.32</v>
      </c>
      <c r="AC164" s="294">
        <v>41731.160000000673</v>
      </c>
      <c r="AD164" s="294">
        <v>117894.35</v>
      </c>
      <c r="AE164" s="294">
        <v>0</v>
      </c>
      <c r="AF164" s="294">
        <v>80318.489999999816</v>
      </c>
      <c r="AG164" s="294">
        <v>0</v>
      </c>
      <c r="AH164" s="294">
        <v>755</v>
      </c>
      <c r="AI164" s="294">
        <v>0</v>
      </c>
      <c r="AJ164" s="294">
        <v>0</v>
      </c>
      <c r="AK164" s="294">
        <v>20331.610000000004</v>
      </c>
      <c r="AL164" s="294">
        <v>883.72</v>
      </c>
      <c r="AM164" s="294">
        <v>37403.050000000003</v>
      </c>
      <c r="AN164" s="294">
        <v>5480.31</v>
      </c>
      <c r="AO164" s="294">
        <v>34409.14</v>
      </c>
      <c r="AP164" s="294">
        <v>6942.96</v>
      </c>
      <c r="AQ164" s="294">
        <v>27115.73</v>
      </c>
      <c r="AR164" s="294">
        <v>191013.53000000009</v>
      </c>
      <c r="AS164" s="294">
        <v>0</v>
      </c>
      <c r="AT164" s="294">
        <v>0</v>
      </c>
      <c r="AU164" s="294">
        <v>66496.399999999994</v>
      </c>
      <c r="AV164" s="294">
        <v>14865.74</v>
      </c>
      <c r="AW164" s="294">
        <v>11160</v>
      </c>
      <c r="AX164" s="294">
        <v>147848.29999999999</v>
      </c>
      <c r="AY164" s="294">
        <v>128782.27</v>
      </c>
      <c r="AZ164" s="294">
        <v>26772.22</v>
      </c>
      <c r="BA164" s="294">
        <v>160393.25</v>
      </c>
      <c r="BB164" s="294">
        <v>0</v>
      </c>
      <c r="BC164" s="294">
        <v>0</v>
      </c>
      <c r="BD164" s="294">
        <v>0</v>
      </c>
      <c r="BE164" s="294">
        <v>2728002.1199999992</v>
      </c>
      <c r="BF164" s="294">
        <v>269641.91999999969</v>
      </c>
      <c r="BG164" s="294">
        <v>-221992.53999999864</v>
      </c>
      <c r="BH164" s="294">
        <v>47649.380000001052</v>
      </c>
      <c r="BI164" s="294">
        <v>0</v>
      </c>
      <c r="BJ164" s="294">
        <v>0</v>
      </c>
      <c r="BK164" s="294">
        <v>0</v>
      </c>
      <c r="BL164" s="294">
        <v>0</v>
      </c>
      <c r="BM164" s="294">
        <v>0</v>
      </c>
      <c r="BN164" s="294">
        <v>0</v>
      </c>
      <c r="BO164" s="294">
        <v>0</v>
      </c>
      <c r="BP164" s="294">
        <v>0</v>
      </c>
      <c r="BQ164" s="294">
        <v>0</v>
      </c>
      <c r="BR164" s="294">
        <v>0</v>
      </c>
      <c r="BS164" s="294">
        <v>0</v>
      </c>
      <c r="BT164" s="294">
        <v>0</v>
      </c>
      <c r="BU164" s="294">
        <v>0</v>
      </c>
      <c r="BV164" s="294">
        <v>0</v>
      </c>
      <c r="BW164" s="294">
        <v>0</v>
      </c>
      <c r="BX164" s="294">
        <v>0</v>
      </c>
      <c r="BY164" s="294">
        <v>0</v>
      </c>
      <c r="BZ164" s="294">
        <v>0</v>
      </c>
      <c r="CA164" s="294">
        <v>0</v>
      </c>
      <c r="CB164" s="294">
        <v>0</v>
      </c>
      <c r="CC164" s="294">
        <v>0</v>
      </c>
      <c r="CD164" s="294">
        <v>47649.380000001052</v>
      </c>
      <c r="CE164" s="294">
        <v>0</v>
      </c>
      <c r="CF164" s="294">
        <v>0</v>
      </c>
      <c r="CG164" s="294">
        <v>0</v>
      </c>
      <c r="CH164" s="294">
        <v>0</v>
      </c>
      <c r="CI164" s="294">
        <f t="shared" si="2"/>
        <v>47649.380000001052</v>
      </c>
      <c r="CJ164" s="294">
        <v>426386.2</v>
      </c>
      <c r="CK164" s="294">
        <v>0</v>
      </c>
      <c r="CL164" s="294">
        <v>0</v>
      </c>
      <c r="CM164" s="294">
        <v>426386.2</v>
      </c>
      <c r="CN164" s="294">
        <v>0</v>
      </c>
      <c r="CO164" s="294">
        <v>0</v>
      </c>
      <c r="CP164" s="294">
        <v>8199.91</v>
      </c>
      <c r="CQ164" s="294">
        <v>0</v>
      </c>
      <c r="CR164" s="294">
        <v>-344749.37</v>
      </c>
      <c r="CS164" s="294">
        <v>89836.739999999991</v>
      </c>
      <c r="CT164" s="294">
        <v>0</v>
      </c>
      <c r="CU164" s="294">
        <v>0</v>
      </c>
      <c r="CV164" s="294">
        <v>0</v>
      </c>
      <c r="CW164" s="294">
        <v>0</v>
      </c>
      <c r="CX164" s="294"/>
      <c r="CY164" s="294"/>
      <c r="CZ164" s="294"/>
      <c r="DA164" s="294">
        <v>0</v>
      </c>
      <c r="DB164" s="294">
        <v>0</v>
      </c>
      <c r="DC164" s="294">
        <v>16870.5</v>
      </c>
      <c r="DD164" s="294">
        <v>8271.4</v>
      </c>
      <c r="DE164" s="294">
        <v>0</v>
      </c>
      <c r="DF164" s="294">
        <v>0</v>
      </c>
      <c r="DG164" s="294">
        <v>-30741.09</v>
      </c>
      <c r="DH164" s="294">
        <v>-36588.18</v>
      </c>
      <c r="DI164" s="294">
        <v>0</v>
      </c>
      <c r="DJ164" s="294">
        <v>0</v>
      </c>
      <c r="DK164" s="294">
        <v>-42187.369999999995</v>
      </c>
      <c r="DL164" s="294">
        <v>0</v>
      </c>
      <c r="DM164" s="294">
        <v>0</v>
      </c>
      <c r="DN164" s="294">
        <v>0</v>
      </c>
      <c r="DO164" s="294">
        <v>0</v>
      </c>
      <c r="DP164" s="294">
        <v>0</v>
      </c>
      <c r="DQ164" s="324">
        <v>1.0000000009313226E-2</v>
      </c>
      <c r="DR164" s="295">
        <v>1847348.889999999</v>
      </c>
      <c r="DS164" s="325">
        <v>880653.23000000021</v>
      </c>
      <c r="DT164" s="295">
        <v>128782.27</v>
      </c>
      <c r="DU164" s="295">
        <v>112330.07</v>
      </c>
      <c r="DV164" s="295">
        <v>4864.0200000000004</v>
      </c>
      <c r="DW164" s="295">
        <v>0</v>
      </c>
    </row>
    <row r="165" spans="1:127">
      <c r="A165" s="321">
        <v>3382</v>
      </c>
      <c r="B165" s="322" t="s">
        <v>465</v>
      </c>
      <c r="C165" s="321">
        <v>3382</v>
      </c>
      <c r="D165" s="323" t="s">
        <v>817</v>
      </c>
      <c r="E165" s="323" t="s">
        <v>539</v>
      </c>
      <c r="F165" s="323" t="s">
        <v>818</v>
      </c>
      <c r="G165" s="323" t="s">
        <v>800</v>
      </c>
      <c r="H165" s="294">
        <v>1173539.9099999999</v>
      </c>
      <c r="I165" s="294">
        <v>0</v>
      </c>
      <c r="J165" s="294">
        <v>58880.37</v>
      </c>
      <c r="K165" s="294">
        <v>0</v>
      </c>
      <c r="L165" s="294">
        <v>99800</v>
      </c>
      <c r="M165" s="294">
        <v>2506.9299999999998</v>
      </c>
      <c r="N165" s="294">
        <v>0</v>
      </c>
      <c r="O165" s="294">
        <v>0</v>
      </c>
      <c r="P165" s="294">
        <v>15153.890000000001</v>
      </c>
      <c r="Q165" s="294">
        <v>22871.759999999998</v>
      </c>
      <c r="R165" s="294">
        <v>0</v>
      </c>
      <c r="S165" s="294">
        <v>0</v>
      </c>
      <c r="T165" s="294">
        <v>40691.189999999988</v>
      </c>
      <c r="U165" s="294">
        <v>0</v>
      </c>
      <c r="V165" s="294">
        <v>0</v>
      </c>
      <c r="W165" s="294">
        <v>1337.71</v>
      </c>
      <c r="X165" s="294">
        <v>47615</v>
      </c>
      <c r="Y165" s="294">
        <v>1462396.7599999998</v>
      </c>
      <c r="Z165" s="294">
        <v>609870.6300000007</v>
      </c>
      <c r="AA165" s="294">
        <v>0.47</v>
      </c>
      <c r="AB165" s="294">
        <v>792.47000000000014</v>
      </c>
      <c r="AC165" s="294">
        <v>227563.47999999989</v>
      </c>
      <c r="AD165" s="294">
        <v>0.27</v>
      </c>
      <c r="AE165" s="294">
        <v>0</v>
      </c>
      <c r="AF165" s="294">
        <v>279862.60999999993</v>
      </c>
      <c r="AG165" s="294">
        <v>13398.09</v>
      </c>
      <c r="AH165" s="294">
        <v>92</v>
      </c>
      <c r="AI165" s="294">
        <v>0</v>
      </c>
      <c r="AJ165" s="294">
        <v>352</v>
      </c>
      <c r="AK165" s="294">
        <v>22436.1</v>
      </c>
      <c r="AL165" s="294">
        <v>0</v>
      </c>
      <c r="AM165" s="294">
        <v>25382.100000000002</v>
      </c>
      <c r="AN165" s="294">
        <v>2826.55</v>
      </c>
      <c r="AO165" s="294">
        <v>31916.170000000009</v>
      </c>
      <c r="AP165" s="294">
        <v>4557.9799999999996</v>
      </c>
      <c r="AQ165" s="294">
        <v>9020.2400000000016</v>
      </c>
      <c r="AR165" s="294">
        <v>28127.899999999994</v>
      </c>
      <c r="AS165" s="294">
        <v>3076.6</v>
      </c>
      <c r="AT165" s="294">
        <v>150</v>
      </c>
      <c r="AU165" s="294">
        <v>26875.520000000004</v>
      </c>
      <c r="AV165" s="294">
        <v>0</v>
      </c>
      <c r="AW165" s="294">
        <v>0</v>
      </c>
      <c r="AX165" s="294">
        <v>87558.16</v>
      </c>
      <c r="AY165" s="294">
        <v>7112</v>
      </c>
      <c r="AZ165" s="294">
        <v>5064.1400000000003</v>
      </c>
      <c r="BA165" s="294">
        <v>125952.53</v>
      </c>
      <c r="BB165" s="294">
        <v>0</v>
      </c>
      <c r="BC165" s="294">
        <v>0</v>
      </c>
      <c r="BD165" s="294">
        <v>0</v>
      </c>
      <c r="BE165" s="294">
        <v>1511988.0100000005</v>
      </c>
      <c r="BF165" s="294">
        <v>90488.530000000115</v>
      </c>
      <c r="BG165" s="294">
        <v>-49591.250000000698</v>
      </c>
      <c r="BH165" s="294">
        <v>40897.279999999417</v>
      </c>
      <c r="BI165" s="294">
        <v>0</v>
      </c>
      <c r="BJ165" s="294">
        <v>0</v>
      </c>
      <c r="BK165" s="294">
        <v>0</v>
      </c>
      <c r="BL165" s="294">
        <v>0</v>
      </c>
      <c r="BM165" s="294">
        <v>0</v>
      </c>
      <c r="BN165" s="294">
        <v>0</v>
      </c>
      <c r="BO165" s="294">
        <v>0</v>
      </c>
      <c r="BP165" s="294">
        <v>0</v>
      </c>
      <c r="BQ165" s="294">
        <v>0</v>
      </c>
      <c r="BR165" s="294">
        <v>0</v>
      </c>
      <c r="BS165" s="294">
        <v>0</v>
      </c>
      <c r="BT165" s="294">
        <v>0</v>
      </c>
      <c r="BU165" s="294">
        <v>0</v>
      </c>
      <c r="BV165" s="294">
        <v>0</v>
      </c>
      <c r="BW165" s="294">
        <v>0</v>
      </c>
      <c r="BX165" s="294">
        <v>0</v>
      </c>
      <c r="BY165" s="294">
        <v>0</v>
      </c>
      <c r="BZ165" s="294">
        <v>0</v>
      </c>
      <c r="CA165" s="294">
        <v>0</v>
      </c>
      <c r="CB165" s="294">
        <v>0</v>
      </c>
      <c r="CC165" s="294">
        <v>0</v>
      </c>
      <c r="CD165" s="294">
        <v>40897.279999999417</v>
      </c>
      <c r="CE165" s="294">
        <v>0</v>
      </c>
      <c r="CF165" s="294">
        <v>0</v>
      </c>
      <c r="CG165" s="294">
        <v>0</v>
      </c>
      <c r="CH165" s="294">
        <v>0</v>
      </c>
      <c r="CI165" s="294">
        <f t="shared" si="2"/>
        <v>40897.279999999417</v>
      </c>
      <c r="CJ165" s="294">
        <v>0</v>
      </c>
      <c r="CK165" s="294">
        <v>0</v>
      </c>
      <c r="CL165" s="294">
        <v>0</v>
      </c>
      <c r="CM165" s="294">
        <v>0</v>
      </c>
      <c r="CN165" s="294">
        <v>0</v>
      </c>
      <c r="CO165" s="294">
        <v>0</v>
      </c>
      <c r="CP165" s="294">
        <v>0</v>
      </c>
      <c r="CQ165" s="294">
        <v>0</v>
      </c>
      <c r="CR165" s="294">
        <v>0</v>
      </c>
      <c r="CS165" s="294">
        <v>0</v>
      </c>
      <c r="CT165" s="294">
        <v>0</v>
      </c>
      <c r="CU165" s="294">
        <v>0</v>
      </c>
      <c r="CV165" s="294">
        <v>0</v>
      </c>
      <c r="CW165" s="294">
        <v>0</v>
      </c>
      <c r="CX165" s="294"/>
      <c r="CY165" s="294"/>
      <c r="CZ165" s="294"/>
      <c r="DA165" s="294">
        <v>67970.719999999259</v>
      </c>
      <c r="DB165" s="294">
        <v>67970.719999999259</v>
      </c>
      <c r="DC165" s="294">
        <v>0</v>
      </c>
      <c r="DD165" s="294">
        <v>3015.64</v>
      </c>
      <c r="DE165" s="294">
        <v>0</v>
      </c>
      <c r="DF165" s="294">
        <v>0</v>
      </c>
      <c r="DG165" s="294">
        <v>-5000</v>
      </c>
      <c r="DH165" s="294">
        <v>-25089.08</v>
      </c>
      <c r="DI165" s="294">
        <v>0</v>
      </c>
      <c r="DJ165" s="294">
        <v>0</v>
      </c>
      <c r="DK165" s="294">
        <v>-27073.440000000002</v>
      </c>
      <c r="DL165" s="294">
        <v>0</v>
      </c>
      <c r="DM165" s="294">
        <v>0</v>
      </c>
      <c r="DN165" s="294">
        <v>0</v>
      </c>
      <c r="DO165" s="294">
        <v>0</v>
      </c>
      <c r="DP165" s="294">
        <v>0</v>
      </c>
      <c r="DQ165" s="324">
        <v>7.4214767664670944E-10</v>
      </c>
      <c r="DR165" s="295">
        <v>1131488.0200000005</v>
      </c>
      <c r="DS165" s="325">
        <v>380499.99</v>
      </c>
      <c r="DT165" s="295">
        <v>7112</v>
      </c>
      <c r="DU165" s="295">
        <v>78716.84</v>
      </c>
      <c r="DV165" s="295">
        <v>0</v>
      </c>
      <c r="DW165" s="295">
        <v>0</v>
      </c>
    </row>
    <row r="166" spans="1:127">
      <c r="A166" s="321">
        <v>3344</v>
      </c>
      <c r="B166" s="322" t="s">
        <v>516</v>
      </c>
      <c r="C166" s="321">
        <v>3344</v>
      </c>
      <c r="D166" s="323" t="s">
        <v>817</v>
      </c>
      <c r="E166" s="323" t="s">
        <v>539</v>
      </c>
      <c r="F166" s="323" t="s">
        <v>818</v>
      </c>
      <c r="G166" s="323" t="s">
        <v>537</v>
      </c>
      <c r="H166" s="294">
        <v>2099481.2000000002</v>
      </c>
      <c r="I166" s="294">
        <v>0</v>
      </c>
      <c r="J166" s="294">
        <v>74803.59</v>
      </c>
      <c r="K166" s="294">
        <v>0</v>
      </c>
      <c r="L166" s="294">
        <v>118970</v>
      </c>
      <c r="M166" s="294">
        <v>1085.6400000000001</v>
      </c>
      <c r="N166" s="294">
        <v>0</v>
      </c>
      <c r="O166" s="294">
        <v>9788</v>
      </c>
      <c r="P166" s="294">
        <v>20171.750000000007</v>
      </c>
      <c r="Q166" s="294">
        <v>51056.83</v>
      </c>
      <c r="R166" s="294">
        <v>0</v>
      </c>
      <c r="S166" s="294">
        <v>0</v>
      </c>
      <c r="T166" s="294">
        <v>26067.11</v>
      </c>
      <c r="U166" s="294">
        <v>0</v>
      </c>
      <c r="V166" s="294">
        <v>0</v>
      </c>
      <c r="W166" s="294">
        <v>1941.46</v>
      </c>
      <c r="X166" s="294">
        <v>82186</v>
      </c>
      <c r="Y166" s="294">
        <v>2485551.58</v>
      </c>
      <c r="Z166" s="294">
        <v>1226496.3300000019</v>
      </c>
      <c r="AA166" s="294">
        <v>7.9936057773011271E-15</v>
      </c>
      <c r="AB166" s="294">
        <v>405597.19</v>
      </c>
      <c r="AC166" s="294">
        <v>95119.13000000047</v>
      </c>
      <c r="AD166" s="294">
        <v>139154.23000000001</v>
      </c>
      <c r="AE166" s="294">
        <v>0</v>
      </c>
      <c r="AF166" s="294">
        <v>89525.739999999816</v>
      </c>
      <c r="AG166" s="294">
        <v>3145.9300000000039</v>
      </c>
      <c r="AH166" s="294">
        <v>8400.42</v>
      </c>
      <c r="AI166" s="294">
        <v>0</v>
      </c>
      <c r="AJ166" s="294">
        <v>0</v>
      </c>
      <c r="AK166" s="294">
        <v>16722.259999999998</v>
      </c>
      <c r="AL166" s="294">
        <v>0</v>
      </c>
      <c r="AM166" s="294">
        <v>3858.44</v>
      </c>
      <c r="AN166" s="294">
        <v>8239.41</v>
      </c>
      <c r="AO166" s="294">
        <v>35755.070000000007</v>
      </c>
      <c r="AP166" s="294">
        <v>3047.48</v>
      </c>
      <c r="AQ166" s="294">
        <v>4129.0200000000004</v>
      </c>
      <c r="AR166" s="294">
        <v>64409.640000000116</v>
      </c>
      <c r="AS166" s="294">
        <v>29346.18</v>
      </c>
      <c r="AT166" s="294">
        <v>0</v>
      </c>
      <c r="AU166" s="294">
        <v>18599.409999999996</v>
      </c>
      <c r="AV166" s="294">
        <v>13831.93</v>
      </c>
      <c r="AW166" s="294">
        <v>0</v>
      </c>
      <c r="AX166" s="294">
        <v>145704.38</v>
      </c>
      <c r="AY166" s="294">
        <v>14497.87</v>
      </c>
      <c r="AZ166" s="294">
        <v>31165.5</v>
      </c>
      <c r="BA166" s="294">
        <v>138807.63</v>
      </c>
      <c r="BB166" s="294">
        <v>0</v>
      </c>
      <c r="BC166" s="294">
        <v>0</v>
      </c>
      <c r="BD166" s="294">
        <v>0</v>
      </c>
      <c r="BE166" s="294">
        <v>2495553.1900000023</v>
      </c>
      <c r="BF166" s="294">
        <v>173529.04999999996</v>
      </c>
      <c r="BG166" s="294">
        <v>-10001.610000002198</v>
      </c>
      <c r="BH166" s="294">
        <v>163527.43999999776</v>
      </c>
      <c r="BI166" s="294">
        <v>0</v>
      </c>
      <c r="BJ166" s="294">
        <v>0</v>
      </c>
      <c r="BK166" s="294">
        <v>0</v>
      </c>
      <c r="BL166" s="294">
        <v>0</v>
      </c>
      <c r="BM166" s="294">
        <v>0</v>
      </c>
      <c r="BN166" s="294">
        <v>0</v>
      </c>
      <c r="BO166" s="294">
        <v>0</v>
      </c>
      <c r="BP166" s="294">
        <v>0</v>
      </c>
      <c r="BQ166" s="294">
        <v>0</v>
      </c>
      <c r="BR166" s="294">
        <v>0</v>
      </c>
      <c r="BS166" s="294">
        <v>0</v>
      </c>
      <c r="BT166" s="294">
        <v>0</v>
      </c>
      <c r="BU166" s="294">
        <v>0</v>
      </c>
      <c r="BV166" s="294">
        <v>0</v>
      </c>
      <c r="BW166" s="294">
        <v>0</v>
      </c>
      <c r="BX166" s="294">
        <v>0</v>
      </c>
      <c r="BY166" s="294">
        <v>0</v>
      </c>
      <c r="BZ166" s="294">
        <v>0</v>
      </c>
      <c r="CA166" s="294">
        <v>0</v>
      </c>
      <c r="CB166" s="294">
        <v>0</v>
      </c>
      <c r="CC166" s="294">
        <v>0</v>
      </c>
      <c r="CD166" s="294">
        <v>163527.43999999776</v>
      </c>
      <c r="CE166" s="294">
        <v>0</v>
      </c>
      <c r="CF166" s="294">
        <v>0</v>
      </c>
      <c r="CG166" s="294">
        <v>0</v>
      </c>
      <c r="CH166" s="294">
        <v>0</v>
      </c>
      <c r="CI166" s="294">
        <f t="shared" si="2"/>
        <v>163527.43999999776</v>
      </c>
      <c r="CJ166" s="294">
        <v>376270.84</v>
      </c>
      <c r="CK166" s="294">
        <v>0</v>
      </c>
      <c r="CL166" s="294">
        <v>0</v>
      </c>
      <c r="CM166" s="294">
        <v>376270.84</v>
      </c>
      <c r="CN166" s="294">
        <v>0</v>
      </c>
      <c r="CO166" s="294">
        <v>0</v>
      </c>
      <c r="CP166" s="294">
        <v>3473.21</v>
      </c>
      <c r="CQ166" s="294">
        <v>0</v>
      </c>
      <c r="CR166" s="294">
        <v>-185186.28999999998</v>
      </c>
      <c r="CS166" s="294">
        <v>194557.76000000007</v>
      </c>
      <c r="CT166" s="294">
        <v>0</v>
      </c>
      <c r="CU166" s="294">
        <v>0</v>
      </c>
      <c r="CV166" s="294">
        <v>0</v>
      </c>
      <c r="CW166" s="294">
        <v>0</v>
      </c>
      <c r="CX166" s="294"/>
      <c r="CY166" s="294"/>
      <c r="CZ166" s="294"/>
      <c r="DA166" s="294">
        <v>0</v>
      </c>
      <c r="DB166" s="294">
        <v>0</v>
      </c>
      <c r="DC166" s="294">
        <v>0</v>
      </c>
      <c r="DD166" s="294">
        <v>6177.65</v>
      </c>
      <c r="DE166" s="294">
        <v>7626.24</v>
      </c>
      <c r="DF166" s="294">
        <v>0</v>
      </c>
      <c r="DG166" s="294">
        <v>-9609.3799999999992</v>
      </c>
      <c r="DH166" s="294">
        <v>-35224.839999999997</v>
      </c>
      <c r="DI166" s="294">
        <v>0</v>
      </c>
      <c r="DJ166" s="294">
        <v>0</v>
      </c>
      <c r="DK166" s="294">
        <v>-31030.329999999994</v>
      </c>
      <c r="DL166" s="294">
        <v>0</v>
      </c>
      <c r="DM166" s="294">
        <v>0</v>
      </c>
      <c r="DN166" s="294">
        <v>0</v>
      </c>
      <c r="DO166" s="294">
        <v>0</v>
      </c>
      <c r="DP166" s="294">
        <v>0</v>
      </c>
      <c r="DQ166" s="324">
        <v>9.9999999220017344E-3</v>
      </c>
      <c r="DR166" s="295">
        <v>1959038.5500000019</v>
      </c>
      <c r="DS166" s="325">
        <v>536514.64000000036</v>
      </c>
      <c r="DT166" s="295">
        <v>14497.87</v>
      </c>
      <c r="DU166" s="295">
        <v>107083.69000000002</v>
      </c>
      <c r="DV166" s="295">
        <v>0</v>
      </c>
      <c r="DW166" s="295">
        <v>0</v>
      </c>
    </row>
    <row r="167" spans="1:127">
      <c r="A167" s="321">
        <v>3025</v>
      </c>
      <c r="B167" s="322" t="s">
        <v>466</v>
      </c>
      <c r="C167" s="321">
        <v>3025</v>
      </c>
      <c r="D167" s="323" t="s">
        <v>817</v>
      </c>
      <c r="E167" s="323" t="s">
        <v>539</v>
      </c>
      <c r="F167" s="323" t="s">
        <v>818</v>
      </c>
      <c r="G167" s="323" t="s">
        <v>537</v>
      </c>
      <c r="H167" s="294">
        <v>2146267</v>
      </c>
      <c r="I167" s="294">
        <v>0</v>
      </c>
      <c r="J167" s="294">
        <v>223989</v>
      </c>
      <c r="K167" s="294">
        <v>0</v>
      </c>
      <c r="L167" s="294">
        <v>143770</v>
      </c>
      <c r="M167" s="294">
        <v>3257</v>
      </c>
      <c r="N167" s="294">
        <v>0</v>
      </c>
      <c r="O167" s="294">
        <v>0</v>
      </c>
      <c r="P167" s="294">
        <v>2909</v>
      </c>
      <c r="Q167" s="294">
        <v>55140</v>
      </c>
      <c r="R167" s="294">
        <v>0</v>
      </c>
      <c r="S167" s="294">
        <v>0</v>
      </c>
      <c r="T167" s="294">
        <v>22638</v>
      </c>
      <c r="U167" s="294">
        <v>3811</v>
      </c>
      <c r="V167" s="294">
        <v>0</v>
      </c>
      <c r="W167" s="294">
        <v>2187</v>
      </c>
      <c r="X167" s="294">
        <v>80570</v>
      </c>
      <c r="Y167" s="294">
        <v>2684538</v>
      </c>
      <c r="Z167" s="294">
        <v>1185211</v>
      </c>
      <c r="AA167" s="294">
        <v>0</v>
      </c>
      <c r="AB167" s="294">
        <v>296809</v>
      </c>
      <c r="AC167" s="294">
        <v>43556</v>
      </c>
      <c r="AD167" s="294">
        <v>174694</v>
      </c>
      <c r="AE167" s="294">
        <v>68166</v>
      </c>
      <c r="AF167" s="294">
        <v>61171</v>
      </c>
      <c r="AG167" s="294">
        <v>2741</v>
      </c>
      <c r="AH167" s="294">
        <v>2845</v>
      </c>
      <c r="AI167" s="294">
        <v>0</v>
      </c>
      <c r="AJ167" s="294">
        <v>0</v>
      </c>
      <c r="AK167" s="294">
        <v>16067</v>
      </c>
      <c r="AL167" s="294">
        <v>1495</v>
      </c>
      <c r="AM167" s="294">
        <v>1081</v>
      </c>
      <c r="AN167" s="294">
        <v>11129</v>
      </c>
      <c r="AO167" s="294">
        <v>32500</v>
      </c>
      <c r="AP167" s="294">
        <v>5126</v>
      </c>
      <c r="AQ167" s="294">
        <v>4654</v>
      </c>
      <c r="AR167" s="294">
        <v>66345</v>
      </c>
      <c r="AS167" s="294">
        <v>12996</v>
      </c>
      <c r="AT167" s="294">
        <v>0</v>
      </c>
      <c r="AU167" s="294">
        <v>22971</v>
      </c>
      <c r="AV167" s="294">
        <v>9471</v>
      </c>
      <c r="AW167" s="294">
        <v>2300</v>
      </c>
      <c r="AX167" s="294">
        <v>43362</v>
      </c>
      <c r="AY167" s="294">
        <v>431274</v>
      </c>
      <c r="AZ167" s="294">
        <v>10103</v>
      </c>
      <c r="BA167" s="294">
        <v>23843</v>
      </c>
      <c r="BB167" s="294">
        <v>80744</v>
      </c>
      <c r="BC167" s="294">
        <v>0</v>
      </c>
      <c r="BD167" s="294">
        <v>0</v>
      </c>
      <c r="BE167" s="294">
        <v>2610654</v>
      </c>
      <c r="BF167" s="294">
        <v>86655</v>
      </c>
      <c r="BG167" s="294">
        <v>73884</v>
      </c>
      <c r="BH167" s="294">
        <v>160539</v>
      </c>
      <c r="BI167" s="294">
        <v>0</v>
      </c>
      <c r="BJ167" s="294">
        <v>0</v>
      </c>
      <c r="BK167" s="294">
        <v>0</v>
      </c>
      <c r="BL167" s="294">
        <v>0</v>
      </c>
      <c r="BM167" s="294">
        <v>0</v>
      </c>
      <c r="BN167" s="294">
        <v>0</v>
      </c>
      <c r="BO167" s="294">
        <v>0</v>
      </c>
      <c r="BP167" s="294">
        <v>0</v>
      </c>
      <c r="BQ167" s="294">
        <v>0</v>
      </c>
      <c r="BR167" s="294">
        <v>0</v>
      </c>
      <c r="BS167" s="294">
        <v>0</v>
      </c>
      <c r="BT167" s="294">
        <v>0</v>
      </c>
      <c r="BU167" s="294">
        <v>0</v>
      </c>
      <c r="BV167" s="294">
        <v>0</v>
      </c>
      <c r="BW167" s="294">
        <v>0</v>
      </c>
      <c r="BX167" s="294">
        <v>0</v>
      </c>
      <c r="BY167" s="294">
        <v>0</v>
      </c>
      <c r="BZ167" s="294">
        <v>0</v>
      </c>
      <c r="CA167" s="294">
        <v>0</v>
      </c>
      <c r="CB167" s="294">
        <v>0</v>
      </c>
      <c r="CC167" s="294">
        <v>0</v>
      </c>
      <c r="CD167" s="294">
        <v>160539</v>
      </c>
      <c r="CE167" s="294">
        <v>0</v>
      </c>
      <c r="CF167" s="294">
        <v>0</v>
      </c>
      <c r="CG167" s="294">
        <v>0</v>
      </c>
      <c r="CH167" s="294">
        <v>0</v>
      </c>
      <c r="CI167" s="294">
        <f t="shared" si="2"/>
        <v>160539</v>
      </c>
      <c r="CJ167" s="294">
        <v>307195</v>
      </c>
      <c r="CK167" s="294">
        <v>0</v>
      </c>
      <c r="CL167" s="294">
        <v>0</v>
      </c>
      <c r="CM167" s="294">
        <v>307195</v>
      </c>
      <c r="CN167" s="294">
        <v>0</v>
      </c>
      <c r="CO167" s="294">
        <v>0</v>
      </c>
      <c r="CP167" s="294">
        <v>14363</v>
      </c>
      <c r="CQ167" s="294">
        <v>0</v>
      </c>
      <c r="CR167" s="294">
        <v>-141525</v>
      </c>
      <c r="CS167" s="294">
        <v>180034</v>
      </c>
      <c r="CT167" s="294">
        <v>0</v>
      </c>
      <c r="CU167" s="294">
        <v>0</v>
      </c>
      <c r="CV167" s="294">
        <v>0</v>
      </c>
      <c r="CW167" s="294">
        <v>0</v>
      </c>
      <c r="CX167" s="294"/>
      <c r="CY167" s="294"/>
      <c r="CZ167" s="294"/>
      <c r="DA167" s="294">
        <v>0</v>
      </c>
      <c r="DB167" s="294">
        <v>0</v>
      </c>
      <c r="DC167" s="294">
        <v>0</v>
      </c>
      <c r="DD167" s="294">
        <v>2909</v>
      </c>
      <c r="DE167" s="294">
        <v>0</v>
      </c>
      <c r="DF167" s="294">
        <v>0</v>
      </c>
      <c r="DG167" s="294">
        <v>-22403</v>
      </c>
      <c r="DH167" s="294">
        <v>0</v>
      </c>
      <c r="DI167" s="294">
        <v>0</v>
      </c>
      <c r="DJ167" s="294">
        <v>0</v>
      </c>
      <c r="DK167" s="294">
        <v>-19494</v>
      </c>
      <c r="DL167" s="294">
        <v>0</v>
      </c>
      <c r="DM167" s="294">
        <v>0</v>
      </c>
      <c r="DN167" s="294">
        <v>0</v>
      </c>
      <c r="DO167" s="294">
        <v>0</v>
      </c>
      <c r="DP167" s="294">
        <v>0</v>
      </c>
      <c r="DQ167" s="324">
        <v>0.22</v>
      </c>
      <c r="DR167" s="295">
        <v>1832348</v>
      </c>
      <c r="DS167" s="325">
        <v>778306</v>
      </c>
      <c r="DT167" s="295">
        <v>431274</v>
      </c>
      <c r="DU167" s="295">
        <v>80687</v>
      </c>
      <c r="DV167" s="295">
        <v>3811</v>
      </c>
      <c r="DW167" s="295">
        <v>0</v>
      </c>
    </row>
    <row r="168" spans="1:127">
      <c r="A168" s="321">
        <v>3016</v>
      </c>
      <c r="B168" s="322" t="s">
        <v>375</v>
      </c>
      <c r="C168" s="321">
        <v>3016</v>
      </c>
      <c r="D168" s="323" t="s">
        <v>817</v>
      </c>
      <c r="E168" s="323" t="s">
        <v>539</v>
      </c>
      <c r="F168" s="323" t="s">
        <v>818</v>
      </c>
      <c r="G168" s="323" t="s">
        <v>537</v>
      </c>
      <c r="H168" s="294">
        <v>1457523.1</v>
      </c>
      <c r="I168" s="294">
        <v>0</v>
      </c>
      <c r="J168" s="294">
        <v>107751.93</v>
      </c>
      <c r="K168" s="294">
        <v>0</v>
      </c>
      <c r="L168" s="294">
        <v>174640</v>
      </c>
      <c r="M168" s="294">
        <v>771.29</v>
      </c>
      <c r="N168" s="294">
        <v>0</v>
      </c>
      <c r="O168" s="294">
        <v>0</v>
      </c>
      <c r="P168" s="294">
        <v>167264.26</v>
      </c>
      <c r="Q168" s="294">
        <v>6733.55</v>
      </c>
      <c r="R168" s="294">
        <v>0</v>
      </c>
      <c r="S168" s="294">
        <v>0</v>
      </c>
      <c r="T168" s="294">
        <v>5485</v>
      </c>
      <c r="U168" s="294">
        <v>0</v>
      </c>
      <c r="V168" s="294">
        <v>0</v>
      </c>
      <c r="W168" s="294">
        <v>7399.38</v>
      </c>
      <c r="X168" s="294">
        <v>44822</v>
      </c>
      <c r="Y168" s="294">
        <v>1972390.51</v>
      </c>
      <c r="Z168" s="294">
        <v>610224.61</v>
      </c>
      <c r="AA168" s="294">
        <v>0</v>
      </c>
      <c r="AB168" s="294">
        <v>299830.8</v>
      </c>
      <c r="AC168" s="294">
        <v>41832.879999999997</v>
      </c>
      <c r="AD168" s="294">
        <v>166971.48000000001</v>
      </c>
      <c r="AE168" s="294">
        <v>0</v>
      </c>
      <c r="AF168" s="294">
        <v>54518.36</v>
      </c>
      <c r="AG168" s="294">
        <v>4038.01</v>
      </c>
      <c r="AH168" s="294">
        <v>7135.2</v>
      </c>
      <c r="AI168" s="294">
        <v>0</v>
      </c>
      <c r="AJ168" s="294">
        <v>0</v>
      </c>
      <c r="AK168" s="294">
        <v>14226.3</v>
      </c>
      <c r="AL168" s="294">
        <v>3948.6</v>
      </c>
      <c r="AM168" s="294">
        <v>2236.7800000000002</v>
      </c>
      <c r="AN168" s="294">
        <v>3651.56</v>
      </c>
      <c r="AO168" s="294">
        <v>38746.229999999996</v>
      </c>
      <c r="AP168" s="294">
        <v>15625.33</v>
      </c>
      <c r="AQ168" s="294">
        <v>13003.16</v>
      </c>
      <c r="AR168" s="294">
        <v>255384.13</v>
      </c>
      <c r="AS168" s="294">
        <v>5982.34</v>
      </c>
      <c r="AT168" s="294">
        <v>0</v>
      </c>
      <c r="AU168" s="294">
        <v>6850.33</v>
      </c>
      <c r="AV168" s="294">
        <v>5139.75</v>
      </c>
      <c r="AW168" s="294">
        <v>2777</v>
      </c>
      <c r="AX168" s="294">
        <v>123588.99</v>
      </c>
      <c r="AY168" s="294">
        <v>106609.64</v>
      </c>
      <c r="AZ168" s="294">
        <v>6264.7</v>
      </c>
      <c r="BA168" s="294">
        <v>112594.93</v>
      </c>
      <c r="BB168" s="294">
        <v>0</v>
      </c>
      <c r="BC168" s="294">
        <v>24.7</v>
      </c>
      <c r="BD168" s="294">
        <v>0</v>
      </c>
      <c r="BE168" s="294">
        <v>1901205.81</v>
      </c>
      <c r="BF168" s="294">
        <v>502363.49999999994</v>
      </c>
      <c r="BG168" s="294">
        <v>71184.699999999953</v>
      </c>
      <c r="BH168" s="294">
        <v>573548.19999999995</v>
      </c>
      <c r="BI168" s="294">
        <v>6306.25</v>
      </c>
      <c r="BJ168" s="294">
        <v>0</v>
      </c>
      <c r="BK168" s="294">
        <v>0</v>
      </c>
      <c r="BL168" s="294">
        <v>6306.25</v>
      </c>
      <c r="BM168" s="294">
        <v>0</v>
      </c>
      <c r="BN168" s="294">
        <v>4990</v>
      </c>
      <c r="BO168" s="294">
        <v>0</v>
      </c>
      <c r="BP168" s="294">
        <v>0</v>
      </c>
      <c r="BQ168" s="294">
        <v>4990</v>
      </c>
      <c r="BR168" s="294">
        <v>0</v>
      </c>
      <c r="BS168" s="294">
        <v>1316.25</v>
      </c>
      <c r="BT168" s="294">
        <v>1316.25</v>
      </c>
      <c r="BU168" s="294">
        <v>0</v>
      </c>
      <c r="BV168" s="294">
        <v>0</v>
      </c>
      <c r="BW168" s="294">
        <v>0</v>
      </c>
      <c r="BX168" s="294">
        <v>0</v>
      </c>
      <c r="BY168" s="294">
        <v>0</v>
      </c>
      <c r="BZ168" s="294">
        <v>0</v>
      </c>
      <c r="CA168" s="294">
        <v>0</v>
      </c>
      <c r="CB168" s="294">
        <v>0</v>
      </c>
      <c r="CC168" s="294">
        <v>0</v>
      </c>
      <c r="CD168" s="294">
        <v>573548.19999999995</v>
      </c>
      <c r="CE168" s="294">
        <v>0</v>
      </c>
      <c r="CF168" s="294">
        <v>1316.25</v>
      </c>
      <c r="CG168" s="294">
        <v>0</v>
      </c>
      <c r="CH168" s="294">
        <v>0</v>
      </c>
      <c r="CI168" s="294">
        <f t="shared" si="2"/>
        <v>574864.44999999995</v>
      </c>
      <c r="CJ168" s="294">
        <v>726066.32</v>
      </c>
      <c r="CK168" s="294">
        <v>143980.09</v>
      </c>
      <c r="CL168" s="294">
        <v>680</v>
      </c>
      <c r="CM168" s="294">
        <v>582766.23</v>
      </c>
      <c r="CN168" s="294">
        <v>0</v>
      </c>
      <c r="CO168" s="294">
        <v>0</v>
      </c>
      <c r="CP168" s="294">
        <v>9620.56</v>
      </c>
      <c r="CQ168" s="294">
        <v>0</v>
      </c>
      <c r="CR168" s="294">
        <v>0</v>
      </c>
      <c r="CS168" s="294">
        <v>592386.79</v>
      </c>
      <c r="CT168" s="294">
        <v>0</v>
      </c>
      <c r="CU168" s="294">
        <v>0</v>
      </c>
      <c r="CV168" s="294">
        <v>0</v>
      </c>
      <c r="CW168" s="294">
        <v>0</v>
      </c>
      <c r="CX168" s="294"/>
      <c r="CY168" s="294"/>
      <c r="CZ168" s="294"/>
      <c r="DA168" s="294">
        <v>0</v>
      </c>
      <c r="DB168" s="294">
        <v>0</v>
      </c>
      <c r="DC168" s="294">
        <v>6050</v>
      </c>
      <c r="DD168" s="294">
        <v>0</v>
      </c>
      <c r="DE168" s="294">
        <v>0</v>
      </c>
      <c r="DF168" s="294">
        <v>0</v>
      </c>
      <c r="DG168" s="294">
        <v>-12492.48</v>
      </c>
      <c r="DH168" s="294">
        <v>-29132.61</v>
      </c>
      <c r="DI168" s="294">
        <v>0</v>
      </c>
      <c r="DJ168" s="294">
        <v>0</v>
      </c>
      <c r="DK168" s="294">
        <v>-35575.089999999997</v>
      </c>
      <c r="DL168" s="294">
        <v>16974.38</v>
      </c>
      <c r="DM168" s="294">
        <v>0</v>
      </c>
      <c r="DN168" s="294">
        <v>717.4</v>
      </c>
      <c r="DO168" s="294">
        <v>0</v>
      </c>
      <c r="DP168" s="294">
        <v>360.99</v>
      </c>
      <c r="DQ168" s="324">
        <v>-2.0000000018626451E-2</v>
      </c>
      <c r="DR168" s="295">
        <v>1177416.1400000001</v>
      </c>
      <c r="DS168" s="325">
        <v>723789.66999999993</v>
      </c>
      <c r="DT168" s="295">
        <v>106609.64</v>
      </c>
      <c r="DU168" s="295">
        <v>179482.81</v>
      </c>
      <c r="DV168" s="295">
        <v>0</v>
      </c>
      <c r="DW168" s="295">
        <v>18052.770000000004</v>
      </c>
    </row>
    <row r="169" spans="1:127">
      <c r="A169" s="321">
        <v>3346</v>
      </c>
      <c r="B169" s="322" t="s">
        <v>467</v>
      </c>
      <c r="C169" s="321">
        <v>3346</v>
      </c>
      <c r="D169" s="323" t="s">
        <v>817</v>
      </c>
      <c r="E169" s="323" t="s">
        <v>539</v>
      </c>
      <c r="F169" s="323" t="s">
        <v>818</v>
      </c>
      <c r="G169" s="323" t="s">
        <v>800</v>
      </c>
      <c r="H169" s="294">
        <v>2416160.46</v>
      </c>
      <c r="I169" s="294">
        <v>0</v>
      </c>
      <c r="J169" s="294">
        <v>123028.15</v>
      </c>
      <c r="K169" s="294">
        <v>0</v>
      </c>
      <c r="L169" s="294">
        <v>267140</v>
      </c>
      <c r="M169" s="294">
        <v>2256.9299999999998</v>
      </c>
      <c r="N169" s="294">
        <v>0</v>
      </c>
      <c r="O169" s="294">
        <v>0</v>
      </c>
      <c r="P169" s="294">
        <v>34834.539999999994</v>
      </c>
      <c r="Q169" s="294">
        <v>54814.210000000006</v>
      </c>
      <c r="R169" s="294">
        <v>0</v>
      </c>
      <c r="S169" s="294">
        <v>0</v>
      </c>
      <c r="T169" s="294">
        <v>5112.3</v>
      </c>
      <c r="U169" s="294">
        <v>0</v>
      </c>
      <c r="V169" s="294">
        <v>0</v>
      </c>
      <c r="W169" s="294">
        <v>3928.97</v>
      </c>
      <c r="X169" s="294">
        <v>69081</v>
      </c>
      <c r="Y169" s="294">
        <v>2976356.56</v>
      </c>
      <c r="Z169" s="294">
        <v>1046583.6099999998</v>
      </c>
      <c r="AA169" s="294">
        <v>7922.9199999999983</v>
      </c>
      <c r="AB169" s="294">
        <v>-9310.7300000000232</v>
      </c>
      <c r="AC169" s="294">
        <v>599930.09000000055</v>
      </c>
      <c r="AD169" s="294">
        <v>139.27999999999997</v>
      </c>
      <c r="AE169" s="294">
        <v>0</v>
      </c>
      <c r="AF169" s="294">
        <v>567565.2499999993</v>
      </c>
      <c r="AG169" s="294">
        <v>13731.410000000009</v>
      </c>
      <c r="AH169" s="294">
        <v>13651.99</v>
      </c>
      <c r="AI169" s="294">
        <v>0</v>
      </c>
      <c r="AJ169" s="294">
        <v>485.52</v>
      </c>
      <c r="AK169" s="294">
        <v>32683.05</v>
      </c>
      <c r="AL169" s="294">
        <v>0</v>
      </c>
      <c r="AM169" s="294">
        <v>45569.48000000001</v>
      </c>
      <c r="AN169" s="294">
        <v>7144.8799999999992</v>
      </c>
      <c r="AO169" s="294">
        <v>75965.310000000027</v>
      </c>
      <c r="AP169" s="294">
        <v>7128.45</v>
      </c>
      <c r="AQ169" s="294">
        <v>39213.700000000012</v>
      </c>
      <c r="AR169" s="294">
        <v>52579.669999999962</v>
      </c>
      <c r="AS169" s="294">
        <v>20135.55</v>
      </c>
      <c r="AT169" s="294">
        <v>7352.08</v>
      </c>
      <c r="AU169" s="294">
        <v>18119.309999999998</v>
      </c>
      <c r="AV169" s="294">
        <v>12431.54</v>
      </c>
      <c r="AW169" s="294">
        <v>5373.03</v>
      </c>
      <c r="AX169" s="294">
        <v>254967.53999999998</v>
      </c>
      <c r="AY169" s="294">
        <v>72817.62</v>
      </c>
      <c r="AZ169" s="294">
        <v>9125.48</v>
      </c>
      <c r="BA169" s="294">
        <v>295357.03000000003</v>
      </c>
      <c r="BB169" s="294">
        <v>0</v>
      </c>
      <c r="BC169" s="294">
        <v>0</v>
      </c>
      <c r="BD169" s="294">
        <v>0</v>
      </c>
      <c r="BE169" s="294">
        <v>3196663.0600000005</v>
      </c>
      <c r="BF169" s="294">
        <v>-494122.42443226755</v>
      </c>
      <c r="BG169" s="294">
        <v>-220306.50000000047</v>
      </c>
      <c r="BH169" s="294">
        <v>-714428.92443226802</v>
      </c>
      <c r="BI169" s="294">
        <v>0</v>
      </c>
      <c r="BJ169" s="294">
        <v>0</v>
      </c>
      <c r="BK169" s="294">
        <v>0</v>
      </c>
      <c r="BL169" s="294">
        <v>0</v>
      </c>
      <c r="BM169" s="294">
        <v>0</v>
      </c>
      <c r="BN169" s="294">
        <v>0</v>
      </c>
      <c r="BO169" s="294">
        <v>0</v>
      </c>
      <c r="BP169" s="294">
        <v>0</v>
      </c>
      <c r="BQ169" s="294">
        <v>0</v>
      </c>
      <c r="BR169" s="294">
        <v>0</v>
      </c>
      <c r="BS169" s="294">
        <v>0</v>
      </c>
      <c r="BT169" s="294">
        <v>0</v>
      </c>
      <c r="BU169" s="294">
        <v>0</v>
      </c>
      <c r="BV169" s="294">
        <v>0</v>
      </c>
      <c r="BW169" s="294">
        <v>0</v>
      </c>
      <c r="BX169" s="294">
        <v>0</v>
      </c>
      <c r="BY169" s="294">
        <v>0</v>
      </c>
      <c r="BZ169" s="294">
        <v>0</v>
      </c>
      <c r="CA169" s="294">
        <v>0</v>
      </c>
      <c r="CB169" s="294">
        <v>0</v>
      </c>
      <c r="CC169" s="294">
        <v>0</v>
      </c>
      <c r="CD169" s="294">
        <v>-714428.92443226802</v>
      </c>
      <c r="CE169" s="294">
        <v>0</v>
      </c>
      <c r="CF169" s="294">
        <v>0</v>
      </c>
      <c r="CG169" s="294">
        <v>0</v>
      </c>
      <c r="CH169" s="294">
        <v>0</v>
      </c>
      <c r="CI169" s="294">
        <f t="shared" si="2"/>
        <v>-714428.92443226802</v>
      </c>
      <c r="CJ169" s="294">
        <v>0</v>
      </c>
      <c r="CK169" s="294">
        <v>0</v>
      </c>
      <c r="CL169" s="294">
        <v>0</v>
      </c>
      <c r="CM169" s="294">
        <v>0</v>
      </c>
      <c r="CN169" s="294">
        <v>0</v>
      </c>
      <c r="CO169" s="294">
        <v>0</v>
      </c>
      <c r="CP169" s="294">
        <v>0</v>
      </c>
      <c r="CQ169" s="294">
        <v>0</v>
      </c>
      <c r="CR169" s="294">
        <v>0</v>
      </c>
      <c r="CS169" s="294">
        <v>0</v>
      </c>
      <c r="CT169" s="294">
        <v>0</v>
      </c>
      <c r="CU169" s="294">
        <v>0</v>
      </c>
      <c r="CV169" s="294">
        <v>0</v>
      </c>
      <c r="CW169" s="294">
        <v>0</v>
      </c>
      <c r="CX169" s="294"/>
      <c r="CY169" s="294"/>
      <c r="CZ169" s="294"/>
      <c r="DA169" s="294">
        <v>-636254.75443226786</v>
      </c>
      <c r="DB169" s="294">
        <v>-636254.75443226786</v>
      </c>
      <c r="DC169" s="294">
        <v>0</v>
      </c>
      <c r="DD169" s="294">
        <v>0</v>
      </c>
      <c r="DE169" s="294">
        <v>0</v>
      </c>
      <c r="DF169" s="294">
        <v>0</v>
      </c>
      <c r="DG169" s="294">
        <v>-20291.3</v>
      </c>
      <c r="DH169" s="294">
        <v>-57882.87</v>
      </c>
      <c r="DI169" s="294">
        <v>0</v>
      </c>
      <c r="DJ169" s="294">
        <v>0</v>
      </c>
      <c r="DK169" s="294">
        <v>-78174.17</v>
      </c>
      <c r="DL169" s="294">
        <v>0</v>
      </c>
      <c r="DM169" s="294">
        <v>0</v>
      </c>
      <c r="DN169" s="294">
        <v>0</v>
      </c>
      <c r="DO169" s="294">
        <v>0</v>
      </c>
      <c r="DP169" s="294">
        <v>0</v>
      </c>
      <c r="DQ169" s="324">
        <v>4.4322678586468101E-3</v>
      </c>
      <c r="DR169" s="295">
        <v>2226561.83</v>
      </c>
      <c r="DS169" s="325">
        <v>970101.23000000045</v>
      </c>
      <c r="DT169" s="295">
        <v>72817.62</v>
      </c>
      <c r="DU169" s="295">
        <v>94761.05</v>
      </c>
      <c r="DV169" s="295">
        <v>0</v>
      </c>
      <c r="DW169" s="295">
        <v>0</v>
      </c>
    </row>
    <row r="170" spans="1:127">
      <c r="A170" s="321">
        <v>4606</v>
      </c>
      <c r="B170" s="322" t="s">
        <v>376</v>
      </c>
      <c r="C170" s="321">
        <v>4606</v>
      </c>
      <c r="D170" s="323" t="s">
        <v>817</v>
      </c>
      <c r="E170" s="323" t="s">
        <v>543</v>
      </c>
      <c r="F170" s="323" t="s">
        <v>818</v>
      </c>
      <c r="G170" s="323" t="s">
        <v>537</v>
      </c>
      <c r="H170" s="294">
        <v>5929186.4199999999</v>
      </c>
      <c r="I170" s="294">
        <v>1180055.83</v>
      </c>
      <c r="J170" s="294">
        <v>46250.82</v>
      </c>
      <c r="K170" s="294">
        <v>0</v>
      </c>
      <c r="L170" s="294">
        <v>253030</v>
      </c>
      <c r="M170" s="294">
        <v>4570.29</v>
      </c>
      <c r="N170" s="294">
        <v>32271.809999999998</v>
      </c>
      <c r="O170" s="294">
        <v>0</v>
      </c>
      <c r="P170" s="294">
        <v>80431.13</v>
      </c>
      <c r="Q170" s="294">
        <v>-456.65</v>
      </c>
      <c r="R170" s="294">
        <v>0</v>
      </c>
      <c r="S170" s="294">
        <v>0</v>
      </c>
      <c r="T170" s="294">
        <v>333906.55</v>
      </c>
      <c r="U170" s="294">
        <v>0</v>
      </c>
      <c r="V170" s="294">
        <v>0</v>
      </c>
      <c r="W170" s="294">
        <v>23082.75</v>
      </c>
      <c r="X170" s="294">
        <v>0</v>
      </c>
      <c r="Y170" s="294">
        <v>7882328.9499999993</v>
      </c>
      <c r="Z170" s="294">
        <v>5272354.46</v>
      </c>
      <c r="AA170" s="294">
        <v>0</v>
      </c>
      <c r="AB170" s="294">
        <v>507175.58</v>
      </c>
      <c r="AC170" s="294">
        <v>85293.28</v>
      </c>
      <c r="AD170" s="294">
        <v>469411.07</v>
      </c>
      <c r="AE170" s="294">
        <v>0</v>
      </c>
      <c r="AF170" s="294">
        <v>86113.71</v>
      </c>
      <c r="AG170" s="294">
        <v>47233.549999999996</v>
      </c>
      <c r="AH170" s="294">
        <v>10372.5</v>
      </c>
      <c r="AI170" s="294">
        <v>0</v>
      </c>
      <c r="AJ170" s="294">
        <v>0</v>
      </c>
      <c r="AK170" s="294">
        <v>52903.520000000004</v>
      </c>
      <c r="AL170" s="294">
        <v>8810.6</v>
      </c>
      <c r="AM170" s="294">
        <v>148570.88</v>
      </c>
      <c r="AN170" s="294">
        <v>8586.58</v>
      </c>
      <c r="AO170" s="294">
        <v>131900.78</v>
      </c>
      <c r="AP170" s="294">
        <v>14946</v>
      </c>
      <c r="AQ170" s="294">
        <v>20586.89</v>
      </c>
      <c r="AR170" s="294">
        <v>396611.48</v>
      </c>
      <c r="AS170" s="294">
        <v>77129.88</v>
      </c>
      <c r="AT170" s="294">
        <v>137300.63</v>
      </c>
      <c r="AU170" s="294">
        <v>116785.09000000001</v>
      </c>
      <c r="AV170" s="294">
        <v>24312.75</v>
      </c>
      <c r="AW170" s="294">
        <v>0</v>
      </c>
      <c r="AX170" s="294">
        <v>116061.73</v>
      </c>
      <c r="AY170" s="294">
        <v>56177.96</v>
      </c>
      <c r="AZ170" s="294">
        <v>65655.320000000007</v>
      </c>
      <c r="BA170" s="294">
        <v>212065.87</v>
      </c>
      <c r="BB170" s="294">
        <v>0</v>
      </c>
      <c r="BC170" s="294">
        <v>0</v>
      </c>
      <c r="BD170" s="294">
        <v>0</v>
      </c>
      <c r="BE170" s="294">
        <v>8066360.1099999994</v>
      </c>
      <c r="BF170" s="294">
        <v>418325.32999999996</v>
      </c>
      <c r="BG170" s="294">
        <v>-184031.16000000015</v>
      </c>
      <c r="BH170" s="294">
        <v>234294.16999999981</v>
      </c>
      <c r="BI170" s="294">
        <v>0</v>
      </c>
      <c r="BJ170" s="294">
        <v>0</v>
      </c>
      <c r="BK170" s="294">
        <v>0</v>
      </c>
      <c r="BL170" s="294">
        <v>0</v>
      </c>
      <c r="BM170" s="294">
        <v>0</v>
      </c>
      <c r="BN170" s="294">
        <v>0</v>
      </c>
      <c r="BO170" s="294">
        <v>0</v>
      </c>
      <c r="BP170" s="294">
        <v>0</v>
      </c>
      <c r="BQ170" s="294">
        <v>0</v>
      </c>
      <c r="BR170" s="294">
        <v>0</v>
      </c>
      <c r="BS170" s="294">
        <v>0</v>
      </c>
      <c r="BT170" s="294">
        <v>0</v>
      </c>
      <c r="BU170" s="294">
        <v>0</v>
      </c>
      <c r="BV170" s="294">
        <v>0</v>
      </c>
      <c r="BW170" s="294">
        <v>0</v>
      </c>
      <c r="BX170" s="294">
        <v>0</v>
      </c>
      <c r="BY170" s="294">
        <v>0</v>
      </c>
      <c r="BZ170" s="294">
        <v>0</v>
      </c>
      <c r="CA170" s="294">
        <v>0</v>
      </c>
      <c r="CB170" s="294">
        <v>0</v>
      </c>
      <c r="CC170" s="294">
        <v>0</v>
      </c>
      <c r="CD170" s="294">
        <v>234294.16999999981</v>
      </c>
      <c r="CE170" s="294">
        <v>0</v>
      </c>
      <c r="CF170" s="294">
        <v>0</v>
      </c>
      <c r="CG170" s="294">
        <v>0</v>
      </c>
      <c r="CH170" s="294">
        <v>0</v>
      </c>
      <c r="CI170" s="294">
        <f t="shared" si="2"/>
        <v>234294.16999999981</v>
      </c>
      <c r="CJ170" s="294">
        <v>607079.19999999995</v>
      </c>
      <c r="CK170" s="294">
        <v>0</v>
      </c>
      <c r="CL170" s="294">
        <v>0</v>
      </c>
      <c r="CM170" s="294">
        <v>607079.19999999995</v>
      </c>
      <c r="CN170" s="294">
        <v>0</v>
      </c>
      <c r="CO170" s="294">
        <v>0</v>
      </c>
      <c r="CP170" s="294">
        <v>15028.41</v>
      </c>
      <c r="CQ170" s="294">
        <v>0</v>
      </c>
      <c r="CR170" s="294">
        <v>0</v>
      </c>
      <c r="CS170" s="294">
        <v>622107.61</v>
      </c>
      <c r="CT170" s="294">
        <v>166435.12</v>
      </c>
      <c r="CU170" s="294">
        <v>0</v>
      </c>
      <c r="CV170" s="294">
        <v>0</v>
      </c>
      <c r="CW170" s="294">
        <v>166435.12</v>
      </c>
      <c r="CX170" s="294"/>
      <c r="CY170" s="294"/>
      <c r="CZ170" s="294"/>
      <c r="DA170" s="294">
        <v>0</v>
      </c>
      <c r="DB170" s="294">
        <v>166435.12</v>
      </c>
      <c r="DC170" s="294">
        <v>0</v>
      </c>
      <c r="DD170" s="294">
        <v>19569.330000000002</v>
      </c>
      <c r="DE170" s="294">
        <v>91559.55</v>
      </c>
      <c r="DF170" s="294">
        <v>0</v>
      </c>
      <c r="DG170" s="294">
        <v>-77289.91</v>
      </c>
      <c r="DH170" s="294">
        <v>-2015</v>
      </c>
      <c r="DI170" s="294">
        <v>0</v>
      </c>
      <c r="DJ170" s="294">
        <v>-57754.83</v>
      </c>
      <c r="DK170" s="294">
        <v>-25930.86</v>
      </c>
      <c r="DL170" s="294">
        <v>22298.959999999999</v>
      </c>
      <c r="DM170" s="294">
        <v>0</v>
      </c>
      <c r="DN170" s="294">
        <v>-1299.9000000000001</v>
      </c>
      <c r="DO170" s="294">
        <v>-549316.76</v>
      </c>
      <c r="DP170" s="294">
        <v>0</v>
      </c>
      <c r="DQ170" s="324">
        <v>0</v>
      </c>
      <c r="DR170" s="295">
        <v>6467581.6500000004</v>
      </c>
      <c r="DS170" s="325">
        <v>1598778.459999999</v>
      </c>
      <c r="DT170" s="295">
        <v>56177.96</v>
      </c>
      <c r="DU170" s="295">
        <v>413881.03</v>
      </c>
      <c r="DV170" s="295">
        <v>0</v>
      </c>
      <c r="DW170" s="295">
        <v>-528317.69999999995</v>
      </c>
    </row>
    <row r="171" spans="1:127">
      <c r="A171" s="321">
        <v>3428</v>
      </c>
      <c r="B171" s="322" t="s">
        <v>377</v>
      </c>
      <c r="C171" s="321">
        <v>3428</v>
      </c>
      <c r="D171" s="323" t="s">
        <v>817</v>
      </c>
      <c r="E171" s="323" t="s">
        <v>539</v>
      </c>
      <c r="F171" s="323" t="s">
        <v>818</v>
      </c>
      <c r="G171" s="323" t="s">
        <v>537</v>
      </c>
      <c r="H171" s="294">
        <v>2334865</v>
      </c>
      <c r="I171" s="294">
        <v>0</v>
      </c>
      <c r="J171" s="294">
        <v>127928</v>
      </c>
      <c r="K171" s="294">
        <v>0</v>
      </c>
      <c r="L171" s="294">
        <v>142740</v>
      </c>
      <c r="M171" s="294">
        <v>0</v>
      </c>
      <c r="N171" s="294">
        <v>0</v>
      </c>
      <c r="O171" s="294">
        <v>0</v>
      </c>
      <c r="P171" s="294">
        <v>222035</v>
      </c>
      <c r="Q171" s="294">
        <v>53691</v>
      </c>
      <c r="R171" s="294">
        <v>0</v>
      </c>
      <c r="S171" s="294">
        <v>0</v>
      </c>
      <c r="T171" s="294">
        <v>44550</v>
      </c>
      <c r="U171" s="294">
        <v>20</v>
      </c>
      <c r="V171" s="294">
        <v>0</v>
      </c>
      <c r="W171" s="294">
        <v>5360</v>
      </c>
      <c r="X171" s="294">
        <v>77135</v>
      </c>
      <c r="Y171" s="294">
        <v>3008324</v>
      </c>
      <c r="Z171" s="294">
        <v>1360608</v>
      </c>
      <c r="AA171" s="294">
        <v>121812</v>
      </c>
      <c r="AB171" s="294">
        <v>499105</v>
      </c>
      <c r="AC171" s="294">
        <v>48426</v>
      </c>
      <c r="AD171" s="294">
        <v>207000</v>
      </c>
      <c r="AE171" s="294">
        <v>87226</v>
      </c>
      <c r="AF171" s="294">
        <v>220051</v>
      </c>
      <c r="AG171" s="294">
        <v>6185</v>
      </c>
      <c r="AH171" s="294">
        <v>1476</v>
      </c>
      <c r="AI171" s="294">
        <v>0</v>
      </c>
      <c r="AJ171" s="294">
        <v>0</v>
      </c>
      <c r="AK171" s="294">
        <v>19177</v>
      </c>
      <c r="AL171" s="294">
        <v>812</v>
      </c>
      <c r="AM171" s="294">
        <v>55782</v>
      </c>
      <c r="AN171" s="294">
        <v>13046</v>
      </c>
      <c r="AO171" s="294">
        <v>35334</v>
      </c>
      <c r="AP171" s="294">
        <v>45672</v>
      </c>
      <c r="AQ171" s="294">
        <v>13895</v>
      </c>
      <c r="AR171" s="294">
        <v>37034</v>
      </c>
      <c r="AS171" s="294">
        <v>0</v>
      </c>
      <c r="AT171" s="294">
        <v>0</v>
      </c>
      <c r="AU171" s="294">
        <v>19111</v>
      </c>
      <c r="AV171" s="294">
        <v>9471</v>
      </c>
      <c r="AW171" s="294">
        <v>0</v>
      </c>
      <c r="AX171" s="294">
        <v>33373</v>
      </c>
      <c r="AY171" s="294">
        <v>13688</v>
      </c>
      <c r="AZ171" s="294">
        <v>118268</v>
      </c>
      <c r="BA171" s="294">
        <v>130301</v>
      </c>
      <c r="BB171" s="294">
        <v>0</v>
      </c>
      <c r="BC171" s="294">
        <v>0</v>
      </c>
      <c r="BD171" s="294">
        <v>0</v>
      </c>
      <c r="BE171" s="294">
        <v>3096852</v>
      </c>
      <c r="BF171" s="294">
        <v>101797</v>
      </c>
      <c r="BG171" s="294">
        <v>-88528</v>
      </c>
      <c r="BH171" s="294">
        <v>13269</v>
      </c>
      <c r="BI171" s="294">
        <v>0</v>
      </c>
      <c r="BJ171" s="294">
        <v>0</v>
      </c>
      <c r="BK171" s="294">
        <v>0</v>
      </c>
      <c r="BL171" s="294">
        <v>0</v>
      </c>
      <c r="BM171" s="294">
        <v>0</v>
      </c>
      <c r="BN171" s="294">
        <v>0</v>
      </c>
      <c r="BO171" s="294">
        <v>0</v>
      </c>
      <c r="BP171" s="294">
        <v>0</v>
      </c>
      <c r="BQ171" s="294">
        <v>0</v>
      </c>
      <c r="BR171" s="294">
        <v>0</v>
      </c>
      <c r="BS171" s="294">
        <v>0</v>
      </c>
      <c r="BT171" s="294">
        <v>0</v>
      </c>
      <c r="BU171" s="294">
        <v>0</v>
      </c>
      <c r="BV171" s="294">
        <v>0</v>
      </c>
      <c r="BW171" s="294">
        <v>0</v>
      </c>
      <c r="BX171" s="294">
        <v>0</v>
      </c>
      <c r="BY171" s="294">
        <v>0</v>
      </c>
      <c r="BZ171" s="294">
        <v>0</v>
      </c>
      <c r="CA171" s="294">
        <v>0</v>
      </c>
      <c r="CB171" s="294">
        <v>0</v>
      </c>
      <c r="CC171" s="294">
        <v>0</v>
      </c>
      <c r="CD171" s="294">
        <v>13269</v>
      </c>
      <c r="CE171" s="294">
        <v>0</v>
      </c>
      <c r="CF171" s="294">
        <v>0</v>
      </c>
      <c r="CG171" s="294">
        <v>0</v>
      </c>
      <c r="CH171" s="294">
        <v>0</v>
      </c>
      <c r="CI171" s="294">
        <f t="shared" si="2"/>
        <v>13269</v>
      </c>
      <c r="CJ171" s="294">
        <v>210331</v>
      </c>
      <c r="CK171" s="294">
        <v>14601</v>
      </c>
      <c r="CL171" s="294">
        <v>0</v>
      </c>
      <c r="CM171" s="294">
        <v>195730</v>
      </c>
      <c r="CN171" s="294">
        <v>0</v>
      </c>
      <c r="CO171" s="294">
        <v>0</v>
      </c>
      <c r="CP171" s="294">
        <v>-1673</v>
      </c>
      <c r="CQ171" s="294">
        <v>14214</v>
      </c>
      <c r="CR171" s="294">
        <v>7761</v>
      </c>
      <c r="CS171" s="294">
        <v>216033</v>
      </c>
      <c r="CT171" s="294">
        <v>24888</v>
      </c>
      <c r="CU171" s="294">
        <v>0</v>
      </c>
      <c r="CV171" s="294">
        <v>0</v>
      </c>
      <c r="CW171" s="294">
        <v>24888</v>
      </c>
      <c r="CX171" s="294"/>
      <c r="CY171" s="294"/>
      <c r="CZ171" s="294"/>
      <c r="DA171" s="294">
        <v>0</v>
      </c>
      <c r="DB171" s="294">
        <v>24888</v>
      </c>
      <c r="DC171" s="294">
        <v>0</v>
      </c>
      <c r="DD171" s="294">
        <v>0</v>
      </c>
      <c r="DE171" s="294">
        <v>0</v>
      </c>
      <c r="DF171" s="294">
        <v>0</v>
      </c>
      <c r="DG171" s="294">
        <v>-49613</v>
      </c>
      <c r="DH171" s="294">
        <v>-260</v>
      </c>
      <c r="DI171" s="294">
        <v>0</v>
      </c>
      <c r="DJ171" s="294">
        <v>0</v>
      </c>
      <c r="DK171" s="294">
        <v>-49873</v>
      </c>
      <c r="DL171" s="294">
        <v>0</v>
      </c>
      <c r="DM171" s="294">
        <v>21695</v>
      </c>
      <c r="DN171" s="294">
        <v>0</v>
      </c>
      <c r="DO171" s="294">
        <v>0</v>
      </c>
      <c r="DP171" s="294">
        <v>-199474</v>
      </c>
      <c r="DQ171" s="324">
        <v>-0.26</v>
      </c>
      <c r="DR171" s="295">
        <v>2550413</v>
      </c>
      <c r="DS171" s="325">
        <v>546439</v>
      </c>
      <c r="DT171" s="295">
        <v>13688</v>
      </c>
      <c r="DU171" s="295">
        <v>320276</v>
      </c>
      <c r="DV171" s="295">
        <v>20</v>
      </c>
      <c r="DW171" s="295">
        <v>-177779</v>
      </c>
    </row>
    <row r="172" spans="1:127">
      <c r="A172" s="321">
        <v>3019</v>
      </c>
      <c r="B172" s="322" t="s">
        <v>517</v>
      </c>
      <c r="C172" s="321">
        <v>3019</v>
      </c>
      <c r="D172" s="323" t="s">
        <v>817</v>
      </c>
      <c r="E172" s="323" t="s">
        <v>539</v>
      </c>
      <c r="F172" s="323" t="s">
        <v>818</v>
      </c>
      <c r="G172" s="323" t="s">
        <v>537</v>
      </c>
      <c r="H172" s="294">
        <v>2437659.44</v>
      </c>
      <c r="I172" s="294">
        <v>0</v>
      </c>
      <c r="J172" s="294">
        <v>238443.39</v>
      </c>
      <c r="K172" s="294">
        <v>0</v>
      </c>
      <c r="L172" s="294">
        <v>268090</v>
      </c>
      <c r="M172" s="294">
        <v>2400</v>
      </c>
      <c r="N172" s="294">
        <v>0</v>
      </c>
      <c r="O172" s="294">
        <v>0</v>
      </c>
      <c r="P172" s="294">
        <v>93473.660000000062</v>
      </c>
      <c r="Q172" s="294">
        <v>49312.639999999999</v>
      </c>
      <c r="R172" s="294">
        <v>0</v>
      </c>
      <c r="S172" s="294">
        <v>0</v>
      </c>
      <c r="T172" s="294">
        <v>10530.099999999999</v>
      </c>
      <c r="U172" s="294">
        <v>0</v>
      </c>
      <c r="V172" s="294">
        <v>0</v>
      </c>
      <c r="W172" s="294">
        <v>14855.83</v>
      </c>
      <c r="X172" s="294">
        <v>59483</v>
      </c>
      <c r="Y172" s="294">
        <v>3174248.0600000005</v>
      </c>
      <c r="Z172" s="294">
        <v>953772.4599999995</v>
      </c>
      <c r="AA172" s="294">
        <v>50.319999999999993</v>
      </c>
      <c r="AB172" s="294">
        <v>-4584.7</v>
      </c>
      <c r="AC172" s="294">
        <v>517554.88000000064</v>
      </c>
      <c r="AD172" s="294">
        <v>378.94999999999993</v>
      </c>
      <c r="AE172" s="294">
        <v>0</v>
      </c>
      <c r="AF172" s="294">
        <v>574021.87999999977</v>
      </c>
      <c r="AG172" s="294">
        <v>30961.439999999962</v>
      </c>
      <c r="AH172" s="294">
        <v>7729</v>
      </c>
      <c r="AI172" s="294">
        <v>0</v>
      </c>
      <c r="AJ172" s="294">
        <v>0</v>
      </c>
      <c r="AK172" s="294">
        <v>87011.760000000009</v>
      </c>
      <c r="AL172" s="294">
        <v>0</v>
      </c>
      <c r="AM172" s="294">
        <v>3626.2399999999993</v>
      </c>
      <c r="AN172" s="294">
        <v>7255.079999999999</v>
      </c>
      <c r="AO172" s="294">
        <v>27810.679999999993</v>
      </c>
      <c r="AP172" s="294">
        <v>27824.83</v>
      </c>
      <c r="AQ172" s="294">
        <v>10896.469999999998</v>
      </c>
      <c r="AR172" s="294">
        <v>220339.0800000001</v>
      </c>
      <c r="AS172" s="294">
        <v>10981.99</v>
      </c>
      <c r="AT172" s="294">
        <v>417.04999999999995</v>
      </c>
      <c r="AU172" s="294">
        <v>21992.770000000004</v>
      </c>
      <c r="AV172" s="294">
        <v>9471</v>
      </c>
      <c r="AW172" s="294">
        <v>12650</v>
      </c>
      <c r="AX172" s="294">
        <v>176927.04</v>
      </c>
      <c r="AY172" s="294">
        <v>107375.24999999996</v>
      </c>
      <c r="AZ172" s="294">
        <v>10153.35</v>
      </c>
      <c r="BA172" s="294">
        <v>417681.07999999978</v>
      </c>
      <c r="BB172" s="294">
        <v>0</v>
      </c>
      <c r="BC172" s="294">
        <v>0</v>
      </c>
      <c r="BD172" s="294">
        <v>0</v>
      </c>
      <c r="BE172" s="294">
        <v>3232297.9000000008</v>
      </c>
      <c r="BF172" s="294">
        <v>460123.00000000035</v>
      </c>
      <c r="BG172" s="294">
        <v>-58049.840000000317</v>
      </c>
      <c r="BH172" s="294">
        <v>402073.16000000003</v>
      </c>
      <c r="BI172" s="294">
        <v>8646.25</v>
      </c>
      <c r="BJ172" s="294">
        <v>0</v>
      </c>
      <c r="BK172" s="294">
        <v>0</v>
      </c>
      <c r="BL172" s="294">
        <v>8646.25</v>
      </c>
      <c r="BM172" s="294">
        <v>0</v>
      </c>
      <c r="BN172" s="294">
        <v>37130</v>
      </c>
      <c r="BO172" s="294">
        <v>0</v>
      </c>
      <c r="BP172" s="294">
        <v>0</v>
      </c>
      <c r="BQ172" s="294">
        <v>37130</v>
      </c>
      <c r="BR172" s="294">
        <v>30287.25</v>
      </c>
      <c r="BS172" s="294">
        <v>-28483.75</v>
      </c>
      <c r="BT172" s="294">
        <v>1803.5</v>
      </c>
      <c r="BU172" s="294">
        <v>0</v>
      </c>
      <c r="BV172" s="294">
        <v>0</v>
      </c>
      <c r="BW172" s="294">
        <v>0</v>
      </c>
      <c r="BX172" s="294">
        <v>0</v>
      </c>
      <c r="BY172" s="294">
        <v>0</v>
      </c>
      <c r="BZ172" s="294">
        <v>0</v>
      </c>
      <c r="CA172" s="294">
        <v>0</v>
      </c>
      <c r="CB172" s="294">
        <v>0</v>
      </c>
      <c r="CC172" s="294">
        <v>0</v>
      </c>
      <c r="CD172" s="294">
        <v>402073.16000000003</v>
      </c>
      <c r="CE172" s="294">
        <v>0</v>
      </c>
      <c r="CF172" s="294">
        <v>1803.5</v>
      </c>
      <c r="CG172" s="294">
        <v>0</v>
      </c>
      <c r="CH172" s="294">
        <v>0</v>
      </c>
      <c r="CI172" s="294">
        <f t="shared" si="2"/>
        <v>403876.66000000003</v>
      </c>
      <c r="CJ172" s="294">
        <v>747379.08</v>
      </c>
      <c r="CK172" s="294">
        <v>0</v>
      </c>
      <c r="CL172" s="294">
        <v>0</v>
      </c>
      <c r="CM172" s="294">
        <v>747379.08</v>
      </c>
      <c r="CN172" s="294">
        <v>0</v>
      </c>
      <c r="CO172" s="294">
        <v>0</v>
      </c>
      <c r="CP172" s="294">
        <v>13028.71</v>
      </c>
      <c r="CQ172" s="294">
        <v>0</v>
      </c>
      <c r="CR172" s="294">
        <v>-276785.95</v>
      </c>
      <c r="CS172" s="294">
        <v>483621.83999999991</v>
      </c>
      <c r="CT172" s="294">
        <v>0</v>
      </c>
      <c r="CU172" s="294">
        <v>0</v>
      </c>
      <c r="CV172" s="294">
        <v>0</v>
      </c>
      <c r="CW172" s="294">
        <v>0</v>
      </c>
      <c r="CX172" s="294"/>
      <c r="CY172" s="294"/>
      <c r="CZ172" s="294"/>
      <c r="DA172" s="294">
        <v>0</v>
      </c>
      <c r="DB172" s="294">
        <v>0</v>
      </c>
      <c r="DC172" s="294">
        <v>0</v>
      </c>
      <c r="DD172" s="294">
        <v>15797.83</v>
      </c>
      <c r="DE172" s="294">
        <v>0</v>
      </c>
      <c r="DF172" s="294">
        <v>0</v>
      </c>
      <c r="DG172" s="294">
        <v>-42340.800000000003</v>
      </c>
      <c r="DH172" s="294">
        <v>-53202.22</v>
      </c>
      <c r="DI172" s="294">
        <v>0</v>
      </c>
      <c r="DJ172" s="294">
        <v>0</v>
      </c>
      <c r="DK172" s="294">
        <v>-79745.19</v>
      </c>
      <c r="DL172" s="294">
        <v>0</v>
      </c>
      <c r="DM172" s="294">
        <v>0</v>
      </c>
      <c r="DN172" s="294">
        <v>0</v>
      </c>
      <c r="DO172" s="294">
        <v>0</v>
      </c>
      <c r="DP172" s="294">
        <v>0</v>
      </c>
      <c r="DQ172" s="324">
        <v>1.0000000125728548E-2</v>
      </c>
      <c r="DR172" s="295">
        <v>2072155.23</v>
      </c>
      <c r="DS172" s="325">
        <v>1160142.6700000009</v>
      </c>
      <c r="DT172" s="295">
        <v>107375.24999999996</v>
      </c>
      <c r="DU172" s="295">
        <v>153316.40000000005</v>
      </c>
      <c r="DV172" s="295">
        <v>0</v>
      </c>
      <c r="DW172" s="295">
        <v>0</v>
      </c>
    </row>
    <row r="173" spans="1:127">
      <c r="A173" s="321">
        <v>3365</v>
      </c>
      <c r="B173" s="322" t="s">
        <v>468</v>
      </c>
      <c r="C173" s="321">
        <v>3365</v>
      </c>
      <c r="D173" s="323" t="s">
        <v>817</v>
      </c>
      <c r="E173" s="323" t="s">
        <v>539</v>
      </c>
      <c r="F173" s="323" t="s">
        <v>818</v>
      </c>
      <c r="G173" s="323" t="s">
        <v>800</v>
      </c>
      <c r="H173" s="294">
        <v>1164451</v>
      </c>
      <c r="I173" s="294">
        <v>0</v>
      </c>
      <c r="J173" s="294">
        <v>86237</v>
      </c>
      <c r="K173" s="294">
        <v>0</v>
      </c>
      <c r="L173" s="294">
        <v>62470</v>
      </c>
      <c r="M173" s="294">
        <v>0</v>
      </c>
      <c r="N173" s="294">
        <v>0</v>
      </c>
      <c r="O173" s="294">
        <v>0</v>
      </c>
      <c r="P173" s="294">
        <v>35188</v>
      </c>
      <c r="Q173" s="294">
        <v>28514</v>
      </c>
      <c r="R173" s="294">
        <v>0</v>
      </c>
      <c r="S173" s="294">
        <v>0</v>
      </c>
      <c r="T173" s="294">
        <v>29295</v>
      </c>
      <c r="U173" s="294">
        <v>0</v>
      </c>
      <c r="V173" s="294">
        <v>0</v>
      </c>
      <c r="W173" s="294">
        <v>2452</v>
      </c>
      <c r="X173" s="294">
        <v>54149</v>
      </c>
      <c r="Y173" s="294">
        <v>1462756</v>
      </c>
      <c r="Z173" s="294">
        <v>678299</v>
      </c>
      <c r="AA173" s="294">
        <v>0</v>
      </c>
      <c r="AB173" s="294">
        <v>274031</v>
      </c>
      <c r="AC173" s="294">
        <v>57981</v>
      </c>
      <c r="AD173" s="294">
        <v>69847</v>
      </c>
      <c r="AE173" s="294">
        <v>0</v>
      </c>
      <c r="AF173" s="294">
        <v>10272</v>
      </c>
      <c r="AG173" s="294">
        <v>91</v>
      </c>
      <c r="AH173" s="294">
        <v>2588</v>
      </c>
      <c r="AI173" s="294">
        <v>0</v>
      </c>
      <c r="AJ173" s="294">
        <v>0</v>
      </c>
      <c r="AK173" s="294">
        <v>12353</v>
      </c>
      <c r="AL173" s="294">
        <v>619</v>
      </c>
      <c r="AM173" s="294">
        <v>15470</v>
      </c>
      <c r="AN173" s="294">
        <v>173</v>
      </c>
      <c r="AO173" s="294">
        <v>21187</v>
      </c>
      <c r="AP173" s="294">
        <v>3736</v>
      </c>
      <c r="AQ173" s="294">
        <v>7877</v>
      </c>
      <c r="AR173" s="294">
        <v>46150</v>
      </c>
      <c r="AS173" s="294">
        <v>2886</v>
      </c>
      <c r="AT173" s="294">
        <v>0</v>
      </c>
      <c r="AU173" s="294">
        <v>16181</v>
      </c>
      <c r="AV173" s="294">
        <v>5140</v>
      </c>
      <c r="AW173" s="294">
        <v>0</v>
      </c>
      <c r="AX173" s="294">
        <v>130773.51</v>
      </c>
      <c r="AY173" s="294">
        <v>149333</v>
      </c>
      <c r="AZ173" s="294">
        <v>8368</v>
      </c>
      <c r="BA173" s="294">
        <v>106273</v>
      </c>
      <c r="BB173" s="294">
        <v>0</v>
      </c>
      <c r="BC173" s="294">
        <v>0</v>
      </c>
      <c r="BD173" s="294">
        <v>0</v>
      </c>
      <c r="BE173" s="294">
        <v>1619626.51</v>
      </c>
      <c r="BF173" s="294">
        <v>165075</v>
      </c>
      <c r="BG173" s="294">
        <v>-156870.51</v>
      </c>
      <c r="BH173" s="294">
        <v>8204.4899999999907</v>
      </c>
      <c r="BI173" s="294">
        <v>0</v>
      </c>
      <c r="BJ173" s="294">
        <v>0</v>
      </c>
      <c r="BK173" s="294">
        <v>0</v>
      </c>
      <c r="BL173" s="294">
        <v>0</v>
      </c>
      <c r="BM173" s="294">
        <v>0</v>
      </c>
      <c r="BN173" s="294">
        <v>0</v>
      </c>
      <c r="BO173" s="294">
        <v>0</v>
      </c>
      <c r="BP173" s="294">
        <v>0</v>
      </c>
      <c r="BQ173" s="294">
        <v>0</v>
      </c>
      <c r="BR173" s="294">
        <v>0</v>
      </c>
      <c r="BS173" s="294">
        <v>0</v>
      </c>
      <c r="BT173" s="294">
        <v>0</v>
      </c>
      <c r="BU173" s="294">
        <v>0</v>
      </c>
      <c r="BV173" s="294">
        <v>0</v>
      </c>
      <c r="BW173" s="294">
        <v>0</v>
      </c>
      <c r="BX173" s="294">
        <v>0</v>
      </c>
      <c r="BY173" s="294">
        <v>0</v>
      </c>
      <c r="BZ173" s="294">
        <v>0</v>
      </c>
      <c r="CA173" s="294">
        <v>0</v>
      </c>
      <c r="CB173" s="294">
        <v>0</v>
      </c>
      <c r="CC173" s="294">
        <v>0</v>
      </c>
      <c r="CD173" s="294">
        <v>8204.4899999999907</v>
      </c>
      <c r="CE173" s="294">
        <v>0</v>
      </c>
      <c r="CF173" s="294">
        <v>0</v>
      </c>
      <c r="CG173" s="294">
        <v>0</v>
      </c>
      <c r="CH173" s="294">
        <v>0</v>
      </c>
      <c r="CI173" s="294">
        <f t="shared" si="2"/>
        <v>8204.4899999999907</v>
      </c>
      <c r="CJ173" s="294">
        <v>1096</v>
      </c>
      <c r="CK173" s="294">
        <v>96</v>
      </c>
      <c r="CL173" s="294">
        <v>0</v>
      </c>
      <c r="CM173" s="294">
        <v>1000</v>
      </c>
      <c r="CN173" s="294">
        <v>0</v>
      </c>
      <c r="CO173" s="294">
        <v>0</v>
      </c>
      <c r="CP173" s="294">
        <v>0</v>
      </c>
      <c r="CQ173" s="294">
        <v>0</v>
      </c>
      <c r="CR173" s="294">
        <v>0</v>
      </c>
      <c r="CS173" s="294">
        <v>1000</v>
      </c>
      <c r="CT173" s="294">
        <v>0</v>
      </c>
      <c r="CU173" s="294">
        <v>0</v>
      </c>
      <c r="CV173" s="294">
        <v>0</v>
      </c>
      <c r="CW173" s="294">
        <v>0</v>
      </c>
      <c r="CX173" s="294"/>
      <c r="CY173" s="294"/>
      <c r="CZ173" s="294"/>
      <c r="DA173" s="294">
        <v>37851</v>
      </c>
      <c r="DB173" s="294">
        <v>37851</v>
      </c>
      <c r="DC173" s="294">
        <v>0</v>
      </c>
      <c r="DD173" s="294">
        <v>6771</v>
      </c>
      <c r="DE173" s="294">
        <v>0</v>
      </c>
      <c r="DF173" s="294">
        <v>0</v>
      </c>
      <c r="DG173" s="294">
        <v>-9214</v>
      </c>
      <c r="DH173" s="294">
        <v>-28205.51</v>
      </c>
      <c r="DI173" s="294">
        <v>0</v>
      </c>
      <c r="DJ173" s="294">
        <v>0</v>
      </c>
      <c r="DK173" s="294">
        <v>-30648.51</v>
      </c>
      <c r="DL173" s="294">
        <v>0</v>
      </c>
      <c r="DM173" s="294">
        <v>0</v>
      </c>
      <c r="DN173" s="294">
        <v>0</v>
      </c>
      <c r="DO173" s="294">
        <v>0</v>
      </c>
      <c r="DP173" s="294">
        <v>0</v>
      </c>
      <c r="DQ173" s="324">
        <v>-8.4310200000000003E-10</v>
      </c>
      <c r="DR173" s="295">
        <v>1090521</v>
      </c>
      <c r="DS173" s="325">
        <v>529105.51</v>
      </c>
      <c r="DT173" s="295">
        <v>149333</v>
      </c>
      <c r="DU173" s="295">
        <v>92997</v>
      </c>
      <c r="DV173" s="295">
        <v>0</v>
      </c>
      <c r="DW173" s="295">
        <v>0</v>
      </c>
    </row>
    <row r="174" spans="1:127">
      <c r="A174" s="321">
        <v>1009</v>
      </c>
      <c r="B174" s="322" t="s">
        <v>469</v>
      </c>
      <c r="C174" s="321">
        <v>1009</v>
      </c>
      <c r="D174" s="323" t="s">
        <v>817</v>
      </c>
      <c r="E174" s="323" t="s">
        <v>536</v>
      </c>
      <c r="F174" s="323" t="s">
        <v>818</v>
      </c>
      <c r="G174" s="323" t="s">
        <v>800</v>
      </c>
      <c r="H174" s="294">
        <v>731747.53</v>
      </c>
      <c r="I174" s="294">
        <v>0</v>
      </c>
      <c r="J174" s="294">
        <v>12362.76</v>
      </c>
      <c r="K174" s="294">
        <v>0</v>
      </c>
      <c r="L174" s="294">
        <v>0</v>
      </c>
      <c r="M174" s="294">
        <v>0</v>
      </c>
      <c r="N174" s="294">
        <v>0</v>
      </c>
      <c r="O174" s="294">
        <v>0</v>
      </c>
      <c r="P174" s="294">
        <v>69744.73</v>
      </c>
      <c r="Q174" s="294">
        <v>7005.86</v>
      </c>
      <c r="R174" s="294">
        <v>0</v>
      </c>
      <c r="S174" s="294">
        <v>0</v>
      </c>
      <c r="T174" s="294">
        <v>75826.320000000036</v>
      </c>
      <c r="U174" s="294">
        <v>0</v>
      </c>
      <c r="V174" s="294">
        <v>0</v>
      </c>
      <c r="W174" s="294">
        <v>0</v>
      </c>
      <c r="X174" s="294">
        <v>0</v>
      </c>
      <c r="Y174" s="294">
        <v>896687.20000000007</v>
      </c>
      <c r="Z174" s="294">
        <v>179334.61999999994</v>
      </c>
      <c r="AA174" s="294">
        <v>15161.940000000002</v>
      </c>
      <c r="AB174" s="294">
        <v>205076.29</v>
      </c>
      <c r="AC174" s="294">
        <v>9504.0000000000146</v>
      </c>
      <c r="AD174" s="294">
        <v>56763.78</v>
      </c>
      <c r="AE174" s="294">
        <v>0</v>
      </c>
      <c r="AF174" s="294">
        <v>87089.229999999981</v>
      </c>
      <c r="AG174" s="294">
        <v>12276.48000000003</v>
      </c>
      <c r="AH174" s="294">
        <v>4220</v>
      </c>
      <c r="AI174" s="294">
        <v>0</v>
      </c>
      <c r="AJ174" s="294">
        <v>19214.2</v>
      </c>
      <c r="AK174" s="294">
        <v>39311.279999999999</v>
      </c>
      <c r="AL174" s="294">
        <v>510</v>
      </c>
      <c r="AM174" s="294">
        <v>31274.51</v>
      </c>
      <c r="AN174" s="294">
        <v>0</v>
      </c>
      <c r="AO174" s="294">
        <v>-66.41</v>
      </c>
      <c r="AP174" s="294">
        <v>600</v>
      </c>
      <c r="AQ174" s="294">
        <v>104439.39</v>
      </c>
      <c r="AR174" s="294">
        <v>13379.089999999998</v>
      </c>
      <c r="AS174" s="294">
        <v>8.99</v>
      </c>
      <c r="AT174" s="294">
        <v>0</v>
      </c>
      <c r="AU174" s="294">
        <v>2125.7799999999993</v>
      </c>
      <c r="AV174" s="294">
        <v>3291.75</v>
      </c>
      <c r="AW174" s="294">
        <v>0</v>
      </c>
      <c r="AX174" s="294">
        <v>29810.84</v>
      </c>
      <c r="AY174" s="294">
        <v>114144.20000000001</v>
      </c>
      <c r="AZ174" s="294">
        <v>5203.55</v>
      </c>
      <c r="BA174" s="294">
        <v>86605.640000000014</v>
      </c>
      <c r="BB174" s="294">
        <v>0</v>
      </c>
      <c r="BC174" s="294">
        <v>0</v>
      </c>
      <c r="BD174" s="294">
        <v>0</v>
      </c>
      <c r="BE174" s="294">
        <v>1019279.15</v>
      </c>
      <c r="BF174" s="294">
        <v>-1225902.0499999998</v>
      </c>
      <c r="BG174" s="294">
        <v>-122591.94999999995</v>
      </c>
      <c r="BH174" s="294">
        <v>-1348493.9999999998</v>
      </c>
      <c r="BI174" s="294">
        <v>4897.75</v>
      </c>
      <c r="BJ174" s="294">
        <v>0</v>
      </c>
      <c r="BK174" s="294">
        <v>0</v>
      </c>
      <c r="BL174" s="294">
        <v>4897.75</v>
      </c>
      <c r="BM174" s="294">
        <v>0</v>
      </c>
      <c r="BN174" s="294">
        <v>0</v>
      </c>
      <c r="BO174" s="294">
        <v>0</v>
      </c>
      <c r="BP174" s="294">
        <v>0</v>
      </c>
      <c r="BQ174" s="294">
        <v>0</v>
      </c>
      <c r="BR174" s="294">
        <v>45316.3</v>
      </c>
      <c r="BS174" s="294">
        <v>4897.75</v>
      </c>
      <c r="BT174" s="294">
        <v>50214.05</v>
      </c>
      <c r="BU174" s="294">
        <v>0</v>
      </c>
      <c r="BV174" s="294">
        <v>0</v>
      </c>
      <c r="BW174" s="294">
        <v>0</v>
      </c>
      <c r="BX174" s="294">
        <v>0</v>
      </c>
      <c r="BY174" s="294">
        <v>0</v>
      </c>
      <c r="BZ174" s="294">
        <v>0</v>
      </c>
      <c r="CA174" s="294">
        <v>0</v>
      </c>
      <c r="CB174" s="294">
        <v>0</v>
      </c>
      <c r="CC174" s="294">
        <v>0</v>
      </c>
      <c r="CD174" s="294">
        <v>-1348493.9999999998</v>
      </c>
      <c r="CE174" s="294">
        <v>0</v>
      </c>
      <c r="CF174" s="294">
        <v>50214.05</v>
      </c>
      <c r="CG174" s="294">
        <v>0</v>
      </c>
      <c r="CH174" s="294">
        <v>0</v>
      </c>
      <c r="CI174" s="294">
        <f t="shared" si="2"/>
        <v>-1298279.9499999997</v>
      </c>
      <c r="CJ174" s="294">
        <v>0</v>
      </c>
      <c r="CK174" s="294">
        <v>0</v>
      </c>
      <c r="CL174" s="294">
        <v>0</v>
      </c>
      <c r="CM174" s="294">
        <v>0</v>
      </c>
      <c r="CN174" s="294">
        <v>0</v>
      </c>
      <c r="CO174" s="294">
        <v>0</v>
      </c>
      <c r="CP174" s="294">
        <v>0</v>
      </c>
      <c r="CQ174" s="294">
        <v>0</v>
      </c>
      <c r="CR174" s="294">
        <v>0</v>
      </c>
      <c r="CS174" s="294">
        <v>0</v>
      </c>
      <c r="CT174" s="294">
        <v>0</v>
      </c>
      <c r="CU174" s="294">
        <v>0</v>
      </c>
      <c r="CV174" s="294">
        <v>0</v>
      </c>
      <c r="CW174" s="294">
        <v>0</v>
      </c>
      <c r="CX174" s="294"/>
      <c r="CY174" s="294"/>
      <c r="CZ174" s="294"/>
      <c r="DA174" s="294">
        <v>-1298279.9499999997</v>
      </c>
      <c r="DB174" s="294">
        <v>-1298279.9499999997</v>
      </c>
      <c r="DC174" s="294">
        <v>0</v>
      </c>
      <c r="DD174" s="294">
        <v>0</v>
      </c>
      <c r="DE174" s="294">
        <v>0</v>
      </c>
      <c r="DF174" s="294">
        <v>0</v>
      </c>
      <c r="DG174" s="294">
        <v>0</v>
      </c>
      <c r="DH174" s="294">
        <v>0</v>
      </c>
      <c r="DI174" s="294">
        <v>0</v>
      </c>
      <c r="DJ174" s="294">
        <v>0</v>
      </c>
      <c r="DK174" s="294">
        <v>0</v>
      </c>
      <c r="DL174" s="294">
        <v>0</v>
      </c>
      <c r="DM174" s="294">
        <v>0</v>
      </c>
      <c r="DN174" s="294">
        <v>0</v>
      </c>
      <c r="DO174" s="294">
        <v>0</v>
      </c>
      <c r="DP174" s="294">
        <v>0</v>
      </c>
      <c r="DQ174" s="324">
        <v>0</v>
      </c>
      <c r="DR174" s="295">
        <v>565206.34</v>
      </c>
      <c r="DS174" s="325">
        <v>454072.81000000006</v>
      </c>
      <c r="DT174" s="295">
        <v>114144.20000000001</v>
      </c>
      <c r="DU174" s="295">
        <v>152576.91000000003</v>
      </c>
      <c r="DV174" s="295">
        <v>0</v>
      </c>
      <c r="DW174" s="295">
        <v>0</v>
      </c>
    </row>
    <row r="175" spans="1:127">
      <c r="A175" s="321">
        <v>3310</v>
      </c>
      <c r="B175" s="322" t="s">
        <v>470</v>
      </c>
      <c r="C175" s="321">
        <v>3310</v>
      </c>
      <c r="D175" s="323" t="s">
        <v>817</v>
      </c>
      <c r="E175" s="323" t="s">
        <v>539</v>
      </c>
      <c r="F175" s="323" t="s">
        <v>818</v>
      </c>
      <c r="G175" s="323" t="s">
        <v>800</v>
      </c>
      <c r="H175" s="294">
        <v>1461798.41</v>
      </c>
      <c r="I175" s="294">
        <v>0</v>
      </c>
      <c r="J175" s="294">
        <v>42927.99</v>
      </c>
      <c r="K175" s="294">
        <v>0</v>
      </c>
      <c r="L175" s="294">
        <v>205000</v>
      </c>
      <c r="M175" s="294">
        <v>3656.93</v>
      </c>
      <c r="N175" s="294">
        <v>0</v>
      </c>
      <c r="O175" s="294">
        <v>0</v>
      </c>
      <c r="P175" s="294">
        <v>1082.05</v>
      </c>
      <c r="Q175" s="294">
        <v>0</v>
      </c>
      <c r="R175" s="294">
        <v>0</v>
      </c>
      <c r="S175" s="294">
        <v>10361.780000000001</v>
      </c>
      <c r="T175" s="294">
        <v>45077.760000000002</v>
      </c>
      <c r="U175" s="294">
        <v>0</v>
      </c>
      <c r="V175" s="294">
        <v>0</v>
      </c>
      <c r="W175" s="294">
        <v>11346.25</v>
      </c>
      <c r="X175" s="294">
        <v>34038</v>
      </c>
      <c r="Y175" s="294">
        <v>1815289.17</v>
      </c>
      <c r="Z175" s="294">
        <v>755257.53</v>
      </c>
      <c r="AA175" s="294">
        <v>0</v>
      </c>
      <c r="AB175" s="294">
        <v>322821.73</v>
      </c>
      <c r="AC175" s="294">
        <v>70491.210000000487</v>
      </c>
      <c r="AD175" s="294">
        <v>133600.71</v>
      </c>
      <c r="AE175" s="294">
        <v>0</v>
      </c>
      <c r="AF175" s="294">
        <v>55346.099999999773</v>
      </c>
      <c r="AG175" s="294">
        <v>862.27000000000589</v>
      </c>
      <c r="AH175" s="294">
        <v>4930.5</v>
      </c>
      <c r="AI175" s="294">
        <v>0</v>
      </c>
      <c r="AJ175" s="294">
        <v>5350</v>
      </c>
      <c r="AK175" s="294">
        <v>4198.8500000000004</v>
      </c>
      <c r="AL175" s="294">
        <v>3712.6399999999994</v>
      </c>
      <c r="AM175" s="294">
        <v>2838.25</v>
      </c>
      <c r="AN175" s="294">
        <v>20943.16</v>
      </c>
      <c r="AO175" s="294">
        <v>32415.809999999987</v>
      </c>
      <c r="AP175" s="294">
        <v>3974.98</v>
      </c>
      <c r="AQ175" s="294">
        <v>16129.400000000001</v>
      </c>
      <c r="AR175" s="294">
        <v>65278.179999999986</v>
      </c>
      <c r="AS175" s="294">
        <v>10918.42</v>
      </c>
      <c r="AT175" s="294">
        <v>0</v>
      </c>
      <c r="AU175" s="294">
        <v>30237.53000000001</v>
      </c>
      <c r="AV175" s="294">
        <v>0</v>
      </c>
      <c r="AW175" s="294">
        <v>12650.4</v>
      </c>
      <c r="AX175" s="294">
        <v>125778.33</v>
      </c>
      <c r="AY175" s="294">
        <v>38765.930000000008</v>
      </c>
      <c r="AZ175" s="294">
        <v>8994.380000000001</v>
      </c>
      <c r="BA175" s="294">
        <v>125442.38</v>
      </c>
      <c r="BB175" s="294">
        <v>0</v>
      </c>
      <c r="BC175" s="294">
        <v>0</v>
      </c>
      <c r="BD175" s="294">
        <v>0</v>
      </c>
      <c r="BE175" s="294">
        <v>1850938.69</v>
      </c>
      <c r="BF175" s="294">
        <v>-2553.3400000000256</v>
      </c>
      <c r="BG175" s="294">
        <v>-35649.520000000019</v>
      </c>
      <c r="BH175" s="294">
        <v>-38202.860000000044</v>
      </c>
      <c r="BI175" s="294">
        <v>0</v>
      </c>
      <c r="BJ175" s="294">
        <v>0</v>
      </c>
      <c r="BK175" s="294">
        <v>0</v>
      </c>
      <c r="BL175" s="294">
        <v>0</v>
      </c>
      <c r="BM175" s="294">
        <v>0</v>
      </c>
      <c r="BN175" s="294">
        <v>0</v>
      </c>
      <c r="BO175" s="294">
        <v>0</v>
      </c>
      <c r="BP175" s="294">
        <v>0</v>
      </c>
      <c r="BQ175" s="294">
        <v>0</v>
      </c>
      <c r="BR175" s="294">
        <v>0</v>
      </c>
      <c r="BS175" s="294">
        <v>0</v>
      </c>
      <c r="BT175" s="294">
        <v>0</v>
      </c>
      <c r="BU175" s="294">
        <v>0</v>
      </c>
      <c r="BV175" s="294">
        <v>0</v>
      </c>
      <c r="BW175" s="294">
        <v>0</v>
      </c>
      <c r="BX175" s="294">
        <v>0</v>
      </c>
      <c r="BY175" s="294">
        <v>0</v>
      </c>
      <c r="BZ175" s="294">
        <v>0</v>
      </c>
      <c r="CA175" s="294">
        <v>0</v>
      </c>
      <c r="CB175" s="294">
        <v>0</v>
      </c>
      <c r="CC175" s="294">
        <v>0</v>
      </c>
      <c r="CD175" s="294">
        <v>-38202.860000000044</v>
      </c>
      <c r="CE175" s="294">
        <v>0</v>
      </c>
      <c r="CF175" s="294">
        <v>0</v>
      </c>
      <c r="CG175" s="294">
        <v>0</v>
      </c>
      <c r="CH175" s="294">
        <v>0</v>
      </c>
      <c r="CI175" s="294">
        <f t="shared" si="2"/>
        <v>-38202.860000000044</v>
      </c>
      <c r="CJ175" s="294">
        <v>0</v>
      </c>
      <c r="CK175" s="294">
        <v>0</v>
      </c>
      <c r="CL175" s="294">
        <v>0</v>
      </c>
      <c r="CM175" s="294">
        <v>0</v>
      </c>
      <c r="CN175" s="294">
        <v>0</v>
      </c>
      <c r="CO175" s="294">
        <v>0</v>
      </c>
      <c r="CP175" s="294">
        <v>0</v>
      </c>
      <c r="CQ175" s="294">
        <v>0</v>
      </c>
      <c r="CR175" s="294">
        <v>0</v>
      </c>
      <c r="CS175" s="294">
        <v>0</v>
      </c>
      <c r="CT175" s="294">
        <v>0</v>
      </c>
      <c r="CU175" s="294">
        <v>0</v>
      </c>
      <c r="CV175" s="294">
        <v>0</v>
      </c>
      <c r="CW175" s="294">
        <v>0</v>
      </c>
      <c r="CX175" s="294"/>
      <c r="CY175" s="294"/>
      <c r="CZ175" s="294"/>
      <c r="DA175" s="294">
        <v>-5322.1099999999324</v>
      </c>
      <c r="DB175" s="294">
        <v>-5322.1099999999324</v>
      </c>
      <c r="DC175" s="294">
        <v>0</v>
      </c>
      <c r="DD175" s="294">
        <v>1082.05</v>
      </c>
      <c r="DE175" s="294">
        <v>0</v>
      </c>
      <c r="DF175" s="294">
        <v>0</v>
      </c>
      <c r="DG175" s="294">
        <v>-3004.68</v>
      </c>
      <c r="DH175" s="294">
        <v>-30958.12</v>
      </c>
      <c r="DI175" s="294">
        <v>0</v>
      </c>
      <c r="DJ175" s="294">
        <v>0</v>
      </c>
      <c r="DK175" s="294">
        <v>-32880.75</v>
      </c>
      <c r="DL175" s="294">
        <v>0</v>
      </c>
      <c r="DM175" s="294">
        <v>0</v>
      </c>
      <c r="DN175" s="294">
        <v>0</v>
      </c>
      <c r="DO175" s="294">
        <v>0</v>
      </c>
      <c r="DP175" s="294">
        <v>0</v>
      </c>
      <c r="DQ175" s="324">
        <v>1.6007106751203537E-10</v>
      </c>
      <c r="DR175" s="295">
        <v>1338379.5500000003</v>
      </c>
      <c r="DS175" s="325">
        <v>512559.13999999966</v>
      </c>
      <c r="DT175" s="295">
        <v>38765.930000000008</v>
      </c>
      <c r="DU175" s="295">
        <v>46159.810000000005</v>
      </c>
      <c r="DV175" s="295">
        <v>10361.780000000001</v>
      </c>
      <c r="DW175" s="295">
        <v>0</v>
      </c>
    </row>
    <row r="176" spans="1:127">
      <c r="A176" s="321">
        <v>2178</v>
      </c>
      <c r="B176" s="322" t="s">
        <v>518</v>
      </c>
      <c r="C176" s="321">
        <v>2178</v>
      </c>
      <c r="D176" s="323" t="s">
        <v>817</v>
      </c>
      <c r="E176" s="323" t="s">
        <v>539</v>
      </c>
      <c r="F176" s="323" t="s">
        <v>818</v>
      </c>
      <c r="G176" s="323" t="s">
        <v>537</v>
      </c>
      <c r="H176" s="294">
        <v>1424324.24</v>
      </c>
      <c r="I176" s="294">
        <v>0</v>
      </c>
      <c r="J176" s="294">
        <v>12847.45</v>
      </c>
      <c r="K176" s="294">
        <v>0</v>
      </c>
      <c r="L176" s="294">
        <v>149120</v>
      </c>
      <c r="M176" s="294">
        <v>200</v>
      </c>
      <c r="N176" s="294">
        <v>7700</v>
      </c>
      <c r="O176" s="294">
        <v>5742</v>
      </c>
      <c r="P176" s="294">
        <v>12856.330000000002</v>
      </c>
      <c r="Q176" s="294">
        <v>0</v>
      </c>
      <c r="R176" s="294">
        <v>0</v>
      </c>
      <c r="S176" s="294">
        <v>0</v>
      </c>
      <c r="T176" s="294">
        <v>13741.400000000005</v>
      </c>
      <c r="U176" s="294">
        <v>7057.5</v>
      </c>
      <c r="V176" s="294">
        <v>0</v>
      </c>
      <c r="W176" s="294">
        <v>3311.83</v>
      </c>
      <c r="X176" s="294">
        <v>40172</v>
      </c>
      <c r="Y176" s="294">
        <v>1677072.75</v>
      </c>
      <c r="Z176" s="294">
        <v>835911.10999999975</v>
      </c>
      <c r="AA176" s="294">
        <v>0</v>
      </c>
      <c r="AB176" s="294">
        <v>253130.43000000002</v>
      </c>
      <c r="AC176" s="294">
        <v>39683.499999999767</v>
      </c>
      <c r="AD176" s="294">
        <v>233457.94</v>
      </c>
      <c r="AE176" s="294">
        <v>0</v>
      </c>
      <c r="AF176" s="294">
        <v>0</v>
      </c>
      <c r="AG176" s="294">
        <v>2416.9799999999977</v>
      </c>
      <c r="AH176" s="294">
        <v>0</v>
      </c>
      <c r="AI176" s="294">
        <v>0</v>
      </c>
      <c r="AJ176" s="294">
        <v>0</v>
      </c>
      <c r="AK176" s="294">
        <v>191.44000000000051</v>
      </c>
      <c r="AL176" s="294">
        <v>3688.08</v>
      </c>
      <c r="AM176" s="294">
        <v>35443.230000000003</v>
      </c>
      <c r="AN176" s="294">
        <v>6586.81</v>
      </c>
      <c r="AO176" s="294">
        <v>37421.83</v>
      </c>
      <c r="AP176" s="294">
        <v>16400.14</v>
      </c>
      <c r="AQ176" s="294">
        <v>16549.599999999999</v>
      </c>
      <c r="AR176" s="294">
        <v>25237.919999999998</v>
      </c>
      <c r="AS176" s="294">
        <v>17555.96</v>
      </c>
      <c r="AT176" s="294">
        <v>0</v>
      </c>
      <c r="AU176" s="294">
        <v>10324.09</v>
      </c>
      <c r="AV176" s="294">
        <v>5139.75</v>
      </c>
      <c r="AW176" s="294">
        <v>4715</v>
      </c>
      <c r="AX176" s="294">
        <v>25461.73</v>
      </c>
      <c r="AY176" s="294">
        <v>0</v>
      </c>
      <c r="AZ176" s="294">
        <v>27281.14</v>
      </c>
      <c r="BA176" s="294">
        <v>90739.609999999986</v>
      </c>
      <c r="BB176" s="294">
        <v>0</v>
      </c>
      <c r="BC176" s="294">
        <v>0</v>
      </c>
      <c r="BD176" s="294">
        <v>0</v>
      </c>
      <c r="BE176" s="294">
        <v>1687336.2899999996</v>
      </c>
      <c r="BF176" s="294">
        <v>166792.00000000012</v>
      </c>
      <c r="BG176" s="294">
        <v>-10263.539999999572</v>
      </c>
      <c r="BH176" s="294">
        <v>156528.46000000054</v>
      </c>
      <c r="BI176" s="294">
        <v>6674.8</v>
      </c>
      <c r="BJ176" s="294">
        <v>0</v>
      </c>
      <c r="BK176" s="294">
        <v>0</v>
      </c>
      <c r="BL176" s="294">
        <v>6674.8</v>
      </c>
      <c r="BM176" s="294">
        <v>0</v>
      </c>
      <c r="BN176" s="294">
        <v>360</v>
      </c>
      <c r="BO176" s="294">
        <v>0</v>
      </c>
      <c r="BP176" s="294">
        <v>2976</v>
      </c>
      <c r="BQ176" s="294">
        <v>3336</v>
      </c>
      <c r="BR176" s="294">
        <v>1751.6000000000058</v>
      </c>
      <c r="BS176" s="294">
        <v>3338.8</v>
      </c>
      <c r="BT176" s="294">
        <v>5090.400000000006</v>
      </c>
      <c r="BU176" s="294">
        <v>0</v>
      </c>
      <c r="BV176" s="294">
        <v>0</v>
      </c>
      <c r="BW176" s="294">
        <v>0</v>
      </c>
      <c r="BX176" s="294">
        <v>0</v>
      </c>
      <c r="BY176" s="294">
        <v>0</v>
      </c>
      <c r="BZ176" s="294">
        <v>0</v>
      </c>
      <c r="CA176" s="294">
        <v>0</v>
      </c>
      <c r="CB176" s="294">
        <v>0</v>
      </c>
      <c r="CC176" s="294">
        <v>0</v>
      </c>
      <c r="CD176" s="294">
        <v>156528.46000000054</v>
      </c>
      <c r="CE176" s="294">
        <v>0</v>
      </c>
      <c r="CF176" s="294">
        <v>5090.400000000006</v>
      </c>
      <c r="CG176" s="294">
        <v>0</v>
      </c>
      <c r="CH176" s="294">
        <v>0</v>
      </c>
      <c r="CI176" s="294">
        <f t="shared" si="2"/>
        <v>161618.86000000054</v>
      </c>
      <c r="CJ176" s="294">
        <v>232135.76</v>
      </c>
      <c r="CK176" s="294">
        <v>118188.94</v>
      </c>
      <c r="CL176" s="294">
        <v>0</v>
      </c>
      <c r="CM176" s="294">
        <v>113946.82</v>
      </c>
      <c r="CN176" s="294">
        <v>0</v>
      </c>
      <c r="CO176" s="294">
        <v>0</v>
      </c>
      <c r="CP176" s="294">
        <v>3215.45</v>
      </c>
      <c r="CQ176" s="294">
        <v>0</v>
      </c>
      <c r="CR176" s="294">
        <v>0</v>
      </c>
      <c r="CS176" s="294">
        <v>117162.27</v>
      </c>
      <c r="CT176" s="294">
        <v>39776.800000000003</v>
      </c>
      <c r="CU176" s="294">
        <v>0</v>
      </c>
      <c r="CV176" s="294">
        <v>0</v>
      </c>
      <c r="CW176" s="294">
        <v>39776.800000000003</v>
      </c>
      <c r="CX176" s="294"/>
      <c r="CY176" s="294"/>
      <c r="CZ176" s="294"/>
      <c r="DA176" s="294">
        <v>0</v>
      </c>
      <c r="DB176" s="294">
        <v>39776.800000000003</v>
      </c>
      <c r="DC176" s="294">
        <v>0</v>
      </c>
      <c r="DD176" s="294">
        <v>4679.79</v>
      </c>
      <c r="DE176" s="294">
        <v>0</v>
      </c>
      <c r="DF176" s="294">
        <v>0</v>
      </c>
      <c r="DG176" s="294">
        <v>0</v>
      </c>
      <c r="DH176" s="294">
        <v>0</v>
      </c>
      <c r="DI176" s="294">
        <v>0</v>
      </c>
      <c r="DJ176" s="294">
        <v>0</v>
      </c>
      <c r="DK176" s="294">
        <v>4679.79</v>
      </c>
      <c r="DL176" s="294">
        <v>0</v>
      </c>
      <c r="DM176" s="294">
        <v>0</v>
      </c>
      <c r="DN176" s="294">
        <v>0</v>
      </c>
      <c r="DO176" s="294">
        <v>0</v>
      </c>
      <c r="DP176" s="294">
        <v>0</v>
      </c>
      <c r="DQ176" s="324">
        <v>0</v>
      </c>
      <c r="DR176" s="295">
        <v>1364599.9599999995</v>
      </c>
      <c r="DS176" s="325">
        <v>322736.33000000007</v>
      </c>
      <c r="DT176" s="295">
        <v>0</v>
      </c>
      <c r="DU176" s="295">
        <v>32339.730000000007</v>
      </c>
      <c r="DV176" s="295">
        <v>7057.5</v>
      </c>
      <c r="DW176" s="295">
        <v>0</v>
      </c>
    </row>
    <row r="177" spans="1:127">
      <c r="A177" s="321">
        <v>2184</v>
      </c>
      <c r="B177" s="322" t="s">
        <v>529</v>
      </c>
      <c r="C177" s="321">
        <v>2184</v>
      </c>
      <c r="D177" s="323" t="s">
        <v>817</v>
      </c>
      <c r="E177" s="323" t="s">
        <v>539</v>
      </c>
      <c r="F177" s="323" t="s">
        <v>818</v>
      </c>
      <c r="G177" s="323" t="s">
        <v>537</v>
      </c>
      <c r="H177" s="294">
        <v>2355806.06</v>
      </c>
      <c r="I177" s="294">
        <v>0</v>
      </c>
      <c r="J177" s="294">
        <v>105700.66</v>
      </c>
      <c r="K177" s="294">
        <v>0</v>
      </c>
      <c r="L177" s="294">
        <v>213560</v>
      </c>
      <c r="M177" s="294">
        <v>3656.93</v>
      </c>
      <c r="N177" s="294">
        <v>0</v>
      </c>
      <c r="O177" s="294">
        <v>0</v>
      </c>
      <c r="P177" s="294">
        <v>47555.280000000006</v>
      </c>
      <c r="Q177" s="294">
        <v>0</v>
      </c>
      <c r="R177" s="294">
        <v>0</v>
      </c>
      <c r="S177" s="294">
        <v>0</v>
      </c>
      <c r="T177" s="294">
        <v>20080.129999999997</v>
      </c>
      <c r="U177" s="294">
        <v>18915.599999999999</v>
      </c>
      <c r="V177" s="294">
        <v>0</v>
      </c>
      <c r="W177" s="294">
        <v>11840.83</v>
      </c>
      <c r="X177" s="294">
        <v>69664</v>
      </c>
      <c r="Y177" s="294">
        <v>2846779.49</v>
      </c>
      <c r="Z177" s="294">
        <v>1107813.2499999998</v>
      </c>
      <c r="AA177" s="294">
        <v>0</v>
      </c>
      <c r="AB177" s="294">
        <v>520902.02</v>
      </c>
      <c r="AC177" s="294">
        <v>121683.31999999942</v>
      </c>
      <c r="AD177" s="294">
        <v>160030.15</v>
      </c>
      <c r="AE177" s="294">
        <v>0</v>
      </c>
      <c r="AF177" s="294">
        <v>175471.52000000002</v>
      </c>
      <c r="AG177" s="294">
        <v>57283.939999999799</v>
      </c>
      <c r="AH177" s="294">
        <v>12168.169999999998</v>
      </c>
      <c r="AI177" s="294">
        <v>0</v>
      </c>
      <c r="AJ177" s="294">
        <v>0</v>
      </c>
      <c r="AK177" s="294">
        <v>99583.850000000064</v>
      </c>
      <c r="AL177" s="294">
        <v>12372.52</v>
      </c>
      <c r="AM177" s="294">
        <v>4201.88</v>
      </c>
      <c r="AN177" s="294">
        <v>18191.96</v>
      </c>
      <c r="AO177" s="294">
        <v>38683.110000000008</v>
      </c>
      <c r="AP177" s="294">
        <v>21268.81</v>
      </c>
      <c r="AQ177" s="294">
        <v>20266.250000000011</v>
      </c>
      <c r="AR177" s="294">
        <v>42058.22000000003</v>
      </c>
      <c r="AS177" s="294">
        <v>22107.789999999994</v>
      </c>
      <c r="AT177" s="294">
        <v>0</v>
      </c>
      <c r="AU177" s="294">
        <v>13659.639999999989</v>
      </c>
      <c r="AV177" s="294">
        <v>19215.2</v>
      </c>
      <c r="AW177" s="294">
        <v>7882.53</v>
      </c>
      <c r="AX177" s="294">
        <v>146235.54999999999</v>
      </c>
      <c r="AY177" s="294">
        <v>236005.63</v>
      </c>
      <c r="AZ177" s="294">
        <v>53945.89</v>
      </c>
      <c r="BA177" s="294">
        <v>39049.629999999997</v>
      </c>
      <c r="BB177" s="294">
        <v>0</v>
      </c>
      <c r="BC177" s="294">
        <v>0</v>
      </c>
      <c r="BD177" s="294">
        <v>0</v>
      </c>
      <c r="BE177" s="294">
        <v>2950080.8299999987</v>
      </c>
      <c r="BF177" s="294">
        <v>846987.67</v>
      </c>
      <c r="BG177" s="294">
        <v>-103301.33999999845</v>
      </c>
      <c r="BH177" s="294">
        <v>743686.33000000159</v>
      </c>
      <c r="BI177" s="294">
        <v>8860</v>
      </c>
      <c r="BJ177" s="294">
        <v>0</v>
      </c>
      <c r="BK177" s="294">
        <v>0</v>
      </c>
      <c r="BL177" s="294">
        <v>8860</v>
      </c>
      <c r="BM177" s="294">
        <v>0</v>
      </c>
      <c r="BN177" s="294">
        <v>0</v>
      </c>
      <c r="BO177" s="294">
        <v>0</v>
      </c>
      <c r="BP177" s="294">
        <v>0</v>
      </c>
      <c r="BQ177" s="294">
        <v>0</v>
      </c>
      <c r="BR177" s="294">
        <v>0</v>
      </c>
      <c r="BS177" s="294">
        <v>8860</v>
      </c>
      <c r="BT177" s="294">
        <v>8860</v>
      </c>
      <c r="BU177" s="294">
        <v>0</v>
      </c>
      <c r="BV177" s="294">
        <v>0</v>
      </c>
      <c r="BW177" s="294">
        <v>0</v>
      </c>
      <c r="BX177" s="294">
        <v>0</v>
      </c>
      <c r="BY177" s="294">
        <v>0</v>
      </c>
      <c r="BZ177" s="294">
        <v>0</v>
      </c>
      <c r="CA177" s="294">
        <v>0</v>
      </c>
      <c r="CB177" s="294">
        <v>0</v>
      </c>
      <c r="CC177" s="294">
        <v>0</v>
      </c>
      <c r="CD177" s="294">
        <v>743686.33000000159</v>
      </c>
      <c r="CE177" s="294">
        <v>0</v>
      </c>
      <c r="CF177" s="294">
        <v>8860</v>
      </c>
      <c r="CG177" s="294">
        <v>0</v>
      </c>
      <c r="CH177" s="294">
        <v>0</v>
      </c>
      <c r="CI177" s="294">
        <f t="shared" si="2"/>
        <v>752546.33000000159</v>
      </c>
      <c r="CJ177" s="294">
        <v>1106796.44</v>
      </c>
      <c r="CK177" s="294">
        <v>15</v>
      </c>
      <c r="CL177" s="294">
        <v>0</v>
      </c>
      <c r="CM177" s="294">
        <v>1106781.44</v>
      </c>
      <c r="CN177" s="294">
        <v>0</v>
      </c>
      <c r="CO177" s="294">
        <v>0</v>
      </c>
      <c r="CP177" s="294">
        <v>2250.1999999999998</v>
      </c>
      <c r="CQ177" s="294">
        <v>0</v>
      </c>
      <c r="CR177" s="294">
        <v>-343837</v>
      </c>
      <c r="CS177" s="294">
        <v>765194.6399999999</v>
      </c>
      <c r="CT177" s="294">
        <v>0</v>
      </c>
      <c r="CU177" s="294">
        <v>0</v>
      </c>
      <c r="CV177" s="294">
        <v>0</v>
      </c>
      <c r="CW177" s="294">
        <v>0</v>
      </c>
      <c r="CX177" s="294"/>
      <c r="CY177" s="294"/>
      <c r="CZ177" s="294"/>
      <c r="DA177" s="294">
        <v>0</v>
      </c>
      <c r="DB177" s="294">
        <v>0</v>
      </c>
      <c r="DC177" s="294">
        <v>0</v>
      </c>
      <c r="DD177" s="294">
        <v>26697.59</v>
      </c>
      <c r="DE177" s="294">
        <v>0</v>
      </c>
      <c r="DF177" s="294">
        <v>0</v>
      </c>
      <c r="DG177" s="294">
        <v>0</v>
      </c>
      <c r="DH177" s="294">
        <v>-39345.69</v>
      </c>
      <c r="DI177" s="294">
        <v>0</v>
      </c>
      <c r="DJ177" s="294">
        <v>0</v>
      </c>
      <c r="DK177" s="294">
        <v>-12648.100000000002</v>
      </c>
      <c r="DL177" s="294">
        <v>0</v>
      </c>
      <c r="DM177" s="294">
        <v>0</v>
      </c>
      <c r="DN177" s="294">
        <v>0</v>
      </c>
      <c r="DO177" s="294">
        <v>0</v>
      </c>
      <c r="DP177" s="294">
        <v>0</v>
      </c>
      <c r="DQ177" s="324">
        <v>-0.20999999984633178</v>
      </c>
      <c r="DR177" s="295">
        <v>2143184.1999999988</v>
      </c>
      <c r="DS177" s="325">
        <v>806896.62999999989</v>
      </c>
      <c r="DT177" s="295">
        <v>236005.63</v>
      </c>
      <c r="DU177" s="295">
        <v>67635.41</v>
      </c>
      <c r="DV177" s="295">
        <v>18915.599999999999</v>
      </c>
      <c r="DW177" s="295">
        <v>0</v>
      </c>
    </row>
    <row r="178" spans="1:127">
      <c r="A178" s="321">
        <v>2190</v>
      </c>
      <c r="B178" s="322" t="s">
        <v>519</v>
      </c>
      <c r="C178" s="321">
        <v>2190</v>
      </c>
      <c r="D178" s="323" t="s">
        <v>817</v>
      </c>
      <c r="E178" s="323" t="s">
        <v>539</v>
      </c>
      <c r="F178" s="323" t="s">
        <v>818</v>
      </c>
      <c r="G178" s="323" t="s">
        <v>537</v>
      </c>
      <c r="H178" s="294">
        <v>1110937.28</v>
      </c>
      <c r="I178" s="294">
        <v>0</v>
      </c>
      <c r="J178" s="294">
        <v>22069.95</v>
      </c>
      <c r="K178" s="294">
        <v>0</v>
      </c>
      <c r="L178" s="294">
        <v>156260</v>
      </c>
      <c r="M178" s="294">
        <v>400</v>
      </c>
      <c r="N178" s="294">
        <v>0</v>
      </c>
      <c r="O178" s="294">
        <v>0</v>
      </c>
      <c r="P178" s="294">
        <v>9774.5600000000013</v>
      </c>
      <c r="Q178" s="294">
        <v>0</v>
      </c>
      <c r="R178" s="294">
        <v>0</v>
      </c>
      <c r="S178" s="294">
        <v>0</v>
      </c>
      <c r="T178" s="294">
        <v>3068.5</v>
      </c>
      <c r="U178" s="294">
        <v>20872.37</v>
      </c>
      <c r="V178" s="294">
        <v>0</v>
      </c>
      <c r="W178" s="294">
        <v>2488.96</v>
      </c>
      <c r="X178" s="294">
        <v>32669</v>
      </c>
      <c r="Y178" s="294">
        <v>1358540.62</v>
      </c>
      <c r="Z178" s="294">
        <v>647832.41000000015</v>
      </c>
      <c r="AA178" s="294">
        <v>0</v>
      </c>
      <c r="AB178" s="294">
        <v>140021.93</v>
      </c>
      <c r="AC178" s="294">
        <v>30325.650000000023</v>
      </c>
      <c r="AD178" s="294">
        <v>91125.91</v>
      </c>
      <c r="AE178" s="294">
        <v>0</v>
      </c>
      <c r="AF178" s="294">
        <v>25480.779999999984</v>
      </c>
      <c r="AG178" s="294">
        <v>4412.2699999999959</v>
      </c>
      <c r="AH178" s="294">
        <v>1902</v>
      </c>
      <c r="AI178" s="294">
        <v>0</v>
      </c>
      <c r="AJ178" s="294">
        <v>0</v>
      </c>
      <c r="AK178" s="294">
        <v>42822.080000000002</v>
      </c>
      <c r="AL178" s="294">
        <v>8553.16</v>
      </c>
      <c r="AM178" s="294">
        <v>2105.39</v>
      </c>
      <c r="AN178" s="294">
        <v>1220.8900000000001</v>
      </c>
      <c r="AO178" s="294">
        <v>41931.019999999997</v>
      </c>
      <c r="AP178" s="294">
        <v>21694.67</v>
      </c>
      <c r="AQ178" s="294">
        <v>11368.08</v>
      </c>
      <c r="AR178" s="294">
        <v>38132.760000000097</v>
      </c>
      <c r="AS178" s="294">
        <v>1047.6000000000047</v>
      </c>
      <c r="AT178" s="294">
        <v>0</v>
      </c>
      <c r="AU178" s="294">
        <v>83409.05</v>
      </c>
      <c r="AV178" s="294">
        <v>5139.75</v>
      </c>
      <c r="AW178" s="294">
        <v>9800</v>
      </c>
      <c r="AX178" s="294">
        <v>50162.149999999994</v>
      </c>
      <c r="AY178" s="294">
        <v>142409.85</v>
      </c>
      <c r="AZ178" s="294">
        <v>18502.310000000001</v>
      </c>
      <c r="BA178" s="294">
        <v>56136.45</v>
      </c>
      <c r="BB178" s="294">
        <v>0</v>
      </c>
      <c r="BC178" s="294">
        <v>0</v>
      </c>
      <c r="BD178" s="294">
        <v>0</v>
      </c>
      <c r="BE178" s="294">
        <v>1475536.1600000004</v>
      </c>
      <c r="BF178" s="294">
        <v>138001.7799999998</v>
      </c>
      <c r="BG178" s="294">
        <v>-116995.54000000027</v>
      </c>
      <c r="BH178" s="294">
        <v>21006.239999999525</v>
      </c>
      <c r="BI178" s="294">
        <v>29543.5</v>
      </c>
      <c r="BJ178" s="294">
        <v>0</v>
      </c>
      <c r="BK178" s="294">
        <v>0</v>
      </c>
      <c r="BL178" s="294">
        <v>29543.5</v>
      </c>
      <c r="BM178" s="294">
        <v>0</v>
      </c>
      <c r="BN178" s="294">
        <v>18500</v>
      </c>
      <c r="BO178" s="294">
        <v>0</v>
      </c>
      <c r="BP178" s="294">
        <v>374.9</v>
      </c>
      <c r="BQ178" s="294">
        <v>18874.900000000001</v>
      </c>
      <c r="BR178" s="294">
        <v>2345</v>
      </c>
      <c r="BS178" s="294">
        <v>10668.599999999999</v>
      </c>
      <c r="BT178" s="294">
        <v>13013.599999999999</v>
      </c>
      <c r="BU178" s="294">
        <v>0</v>
      </c>
      <c r="BV178" s="294">
        <v>0</v>
      </c>
      <c r="BW178" s="294">
        <v>0</v>
      </c>
      <c r="BX178" s="294">
        <v>0</v>
      </c>
      <c r="BY178" s="294">
        <v>0</v>
      </c>
      <c r="BZ178" s="294">
        <v>0</v>
      </c>
      <c r="CA178" s="294">
        <v>0</v>
      </c>
      <c r="CB178" s="294">
        <v>0</v>
      </c>
      <c r="CC178" s="294">
        <v>0</v>
      </c>
      <c r="CD178" s="294">
        <v>21006.239999999525</v>
      </c>
      <c r="CE178" s="294">
        <v>0</v>
      </c>
      <c r="CF178" s="294">
        <v>13013.599999999999</v>
      </c>
      <c r="CG178" s="294">
        <v>0</v>
      </c>
      <c r="CH178" s="294">
        <v>0</v>
      </c>
      <c r="CI178" s="294">
        <f t="shared" si="2"/>
        <v>34019.839999999524</v>
      </c>
      <c r="CJ178" s="294">
        <v>118619.52</v>
      </c>
      <c r="CK178" s="294">
        <v>0</v>
      </c>
      <c r="CL178" s="294">
        <v>0</v>
      </c>
      <c r="CM178" s="294">
        <v>118619.52</v>
      </c>
      <c r="CN178" s="294">
        <v>0</v>
      </c>
      <c r="CO178" s="294">
        <v>0</v>
      </c>
      <c r="CP178" s="294">
        <v>7996.09</v>
      </c>
      <c r="CQ178" s="294">
        <v>0</v>
      </c>
      <c r="CR178" s="294">
        <v>-67268.31</v>
      </c>
      <c r="CS178" s="294">
        <v>59347.3</v>
      </c>
      <c r="CT178" s="294">
        <v>0</v>
      </c>
      <c r="CU178" s="294">
        <v>0</v>
      </c>
      <c r="CV178" s="294">
        <v>0</v>
      </c>
      <c r="CW178" s="294">
        <v>0</v>
      </c>
      <c r="CX178" s="294"/>
      <c r="CY178" s="294"/>
      <c r="CZ178" s="294"/>
      <c r="DA178" s="294">
        <v>0</v>
      </c>
      <c r="DB178" s="294">
        <v>0</v>
      </c>
      <c r="DC178" s="294">
        <v>0</v>
      </c>
      <c r="DD178" s="294">
        <v>5174.5600000000004</v>
      </c>
      <c r="DE178" s="294">
        <v>0</v>
      </c>
      <c r="DF178" s="294">
        <v>0</v>
      </c>
      <c r="DG178" s="294">
        <v>-26249.759999999998</v>
      </c>
      <c r="DH178" s="294">
        <v>-4252.26</v>
      </c>
      <c r="DI178" s="294">
        <v>0</v>
      </c>
      <c r="DJ178" s="294">
        <v>0</v>
      </c>
      <c r="DK178" s="294">
        <v>-25327.46</v>
      </c>
      <c r="DL178" s="294">
        <v>0</v>
      </c>
      <c r="DM178" s="294">
        <v>0</v>
      </c>
      <c r="DN178" s="294">
        <v>0</v>
      </c>
      <c r="DO178" s="294">
        <v>0</v>
      </c>
      <c r="DP178" s="294">
        <v>0</v>
      </c>
      <c r="DQ178" s="324">
        <v>0</v>
      </c>
      <c r="DR178" s="295">
        <v>939198.95000000019</v>
      </c>
      <c r="DS178" s="325">
        <v>536337.2100000002</v>
      </c>
      <c r="DT178" s="295">
        <v>142409.85</v>
      </c>
      <c r="DU178" s="295">
        <v>12843.060000000001</v>
      </c>
      <c r="DV178" s="295">
        <v>20872.37</v>
      </c>
      <c r="DW178" s="295">
        <v>0</v>
      </c>
    </row>
    <row r="179" spans="1:127">
      <c r="A179" s="321">
        <v>7035</v>
      </c>
      <c r="B179" s="322" t="s">
        <v>520</v>
      </c>
      <c r="C179" s="321">
        <v>7035</v>
      </c>
      <c r="D179" s="323" t="s">
        <v>817</v>
      </c>
      <c r="E179" s="323" t="s">
        <v>541</v>
      </c>
      <c r="F179" s="323" t="s">
        <v>818</v>
      </c>
      <c r="G179" s="323" t="s">
        <v>537</v>
      </c>
      <c r="H179" s="294">
        <v>1771572.04</v>
      </c>
      <c r="I179" s="294">
        <v>0</v>
      </c>
      <c r="J179" s="294">
        <v>1597742.45</v>
      </c>
      <c r="K179" s="294">
        <v>0</v>
      </c>
      <c r="L179" s="294">
        <v>125720</v>
      </c>
      <c r="M179" s="294">
        <v>5028.22</v>
      </c>
      <c r="N179" s="294">
        <v>0</v>
      </c>
      <c r="O179" s="294">
        <v>0</v>
      </c>
      <c r="P179" s="294">
        <v>28167.130000000016</v>
      </c>
      <c r="Q179" s="294">
        <v>32291.349999999995</v>
      </c>
      <c r="R179" s="294">
        <v>0</v>
      </c>
      <c r="S179" s="294">
        <v>0</v>
      </c>
      <c r="T179" s="294">
        <v>1687.88</v>
      </c>
      <c r="U179" s="294">
        <v>33027.71</v>
      </c>
      <c r="V179" s="294">
        <v>0</v>
      </c>
      <c r="W179" s="294">
        <v>23731.360000000001</v>
      </c>
      <c r="X179" s="294">
        <v>27101</v>
      </c>
      <c r="Y179" s="294">
        <v>3646069.14</v>
      </c>
      <c r="Z179" s="294">
        <v>1264386.6199999964</v>
      </c>
      <c r="AA179" s="294">
        <v>0</v>
      </c>
      <c r="AB179" s="294">
        <v>1211491.9099999999</v>
      </c>
      <c r="AC179" s="294">
        <v>35859.580000000773</v>
      </c>
      <c r="AD179" s="294">
        <v>209798.22</v>
      </c>
      <c r="AE179" s="294">
        <v>0</v>
      </c>
      <c r="AF179" s="294">
        <v>42799.150000002235</v>
      </c>
      <c r="AG179" s="294">
        <v>11178.119999999881</v>
      </c>
      <c r="AH179" s="294">
        <v>10720.63</v>
      </c>
      <c r="AI179" s="294">
        <v>0</v>
      </c>
      <c r="AJ179" s="294">
        <v>0</v>
      </c>
      <c r="AK179" s="294">
        <v>30029.120000000003</v>
      </c>
      <c r="AL179" s="294">
        <v>10705.79</v>
      </c>
      <c r="AM179" s="294">
        <v>44642.820000000007</v>
      </c>
      <c r="AN179" s="294">
        <v>6424.78</v>
      </c>
      <c r="AO179" s="294">
        <v>23548.680000000008</v>
      </c>
      <c r="AP179" s="294">
        <v>0</v>
      </c>
      <c r="AQ179" s="294">
        <v>15428</v>
      </c>
      <c r="AR179" s="294">
        <v>80869.670000000333</v>
      </c>
      <c r="AS179" s="294">
        <v>12586.359999999997</v>
      </c>
      <c r="AT179" s="294">
        <v>0</v>
      </c>
      <c r="AU179" s="294">
        <v>40012.149999999936</v>
      </c>
      <c r="AV179" s="294">
        <v>5139.75</v>
      </c>
      <c r="AW179" s="294">
        <v>6463.5</v>
      </c>
      <c r="AX179" s="294">
        <v>101263.09</v>
      </c>
      <c r="AY179" s="294">
        <v>164518.93</v>
      </c>
      <c r="AZ179" s="294">
        <v>7008.35</v>
      </c>
      <c r="BA179" s="294">
        <v>293501.20999999996</v>
      </c>
      <c r="BB179" s="294">
        <v>0</v>
      </c>
      <c r="BC179" s="294">
        <v>0</v>
      </c>
      <c r="BD179" s="294">
        <v>0</v>
      </c>
      <c r="BE179" s="294">
        <v>3628376.43</v>
      </c>
      <c r="BF179" s="294">
        <v>548528.51999999885</v>
      </c>
      <c r="BG179" s="294">
        <v>17692.709999999963</v>
      </c>
      <c r="BH179" s="294">
        <v>566221.22999999882</v>
      </c>
      <c r="BI179" s="294">
        <v>11644.38</v>
      </c>
      <c r="BJ179" s="294">
        <v>0</v>
      </c>
      <c r="BK179" s="294">
        <v>0</v>
      </c>
      <c r="BL179" s="294">
        <v>11644.38</v>
      </c>
      <c r="BM179" s="294">
        <v>0</v>
      </c>
      <c r="BN179" s="294">
        <v>14247.2</v>
      </c>
      <c r="BO179" s="294">
        <v>0</v>
      </c>
      <c r="BP179" s="294">
        <v>0</v>
      </c>
      <c r="BQ179" s="294">
        <v>14247.2</v>
      </c>
      <c r="BR179" s="294">
        <v>35556.130000000005</v>
      </c>
      <c r="BS179" s="294">
        <v>-2602.8200000000015</v>
      </c>
      <c r="BT179" s="294">
        <v>32953.310000000005</v>
      </c>
      <c r="BU179" s="294">
        <v>0</v>
      </c>
      <c r="BV179" s="294">
        <v>0</v>
      </c>
      <c r="BW179" s="294">
        <v>0</v>
      </c>
      <c r="BX179" s="294">
        <v>0</v>
      </c>
      <c r="BY179" s="294">
        <v>0</v>
      </c>
      <c r="BZ179" s="294">
        <v>0</v>
      </c>
      <c r="CA179" s="294">
        <v>0</v>
      </c>
      <c r="CB179" s="294">
        <v>0</v>
      </c>
      <c r="CC179" s="294">
        <v>0</v>
      </c>
      <c r="CD179" s="294">
        <v>566221.22999999882</v>
      </c>
      <c r="CE179" s="294">
        <v>0</v>
      </c>
      <c r="CF179" s="294">
        <v>32953.310000000005</v>
      </c>
      <c r="CG179" s="294">
        <v>0</v>
      </c>
      <c r="CH179" s="294">
        <v>0</v>
      </c>
      <c r="CI179" s="294">
        <f t="shared" si="2"/>
        <v>599174.53999999887</v>
      </c>
      <c r="CJ179" s="294">
        <v>939138.28</v>
      </c>
      <c r="CK179" s="294">
        <v>-13779.58</v>
      </c>
      <c r="CL179" s="294">
        <v>0</v>
      </c>
      <c r="CM179" s="294">
        <v>952917.86</v>
      </c>
      <c r="CN179" s="294">
        <v>0</v>
      </c>
      <c r="CO179" s="294">
        <v>0</v>
      </c>
      <c r="CP179" s="294">
        <v>10973.13</v>
      </c>
      <c r="CQ179" s="294">
        <v>0</v>
      </c>
      <c r="CR179" s="294">
        <v>-354940.89</v>
      </c>
      <c r="CS179" s="294">
        <v>608950.1</v>
      </c>
      <c r="CT179" s="294">
        <v>151640.49</v>
      </c>
      <c r="CU179" s="294">
        <v>1640.59</v>
      </c>
      <c r="CV179" s="294">
        <v>0</v>
      </c>
      <c r="CW179" s="294">
        <v>149999.9</v>
      </c>
      <c r="CX179" s="294"/>
      <c r="CY179" s="294"/>
      <c r="CZ179" s="294"/>
      <c r="DA179" s="294">
        <v>-150000</v>
      </c>
      <c r="DB179" s="294">
        <v>-0.10000000000582077</v>
      </c>
      <c r="DC179" s="294">
        <v>0</v>
      </c>
      <c r="DD179" s="294">
        <v>17300.16</v>
      </c>
      <c r="DE179" s="294">
        <v>0</v>
      </c>
      <c r="DF179" s="294">
        <v>0</v>
      </c>
      <c r="DG179" s="294">
        <v>0</v>
      </c>
      <c r="DH179" s="294">
        <v>-27075.62</v>
      </c>
      <c r="DI179" s="294">
        <v>0</v>
      </c>
      <c r="DJ179" s="294">
        <v>0</v>
      </c>
      <c r="DK179" s="294">
        <v>-9775.4599999999991</v>
      </c>
      <c r="DL179" s="294">
        <v>0</v>
      </c>
      <c r="DM179" s="294">
        <v>0</v>
      </c>
      <c r="DN179" s="294">
        <v>0</v>
      </c>
      <c r="DO179" s="294">
        <v>0</v>
      </c>
      <c r="DP179" s="294">
        <v>0</v>
      </c>
      <c r="DQ179" s="324">
        <v>0</v>
      </c>
      <c r="DR179" s="295">
        <v>2775513.6</v>
      </c>
      <c r="DS179" s="325">
        <v>852862.83000000007</v>
      </c>
      <c r="DT179" s="295">
        <v>164518.93</v>
      </c>
      <c r="DU179" s="295">
        <v>62146.360000000008</v>
      </c>
      <c r="DV179" s="295">
        <v>33027.71</v>
      </c>
      <c r="DW179" s="295">
        <v>0</v>
      </c>
    </row>
    <row r="180" spans="1:127">
      <c r="A180" s="321">
        <v>2246</v>
      </c>
      <c r="B180" s="322" t="s">
        <v>471</v>
      </c>
      <c r="C180" s="321">
        <v>2246</v>
      </c>
      <c r="D180" s="323" t="s">
        <v>817</v>
      </c>
      <c r="E180" s="323" t="s">
        <v>539</v>
      </c>
      <c r="F180" s="323" t="s">
        <v>818</v>
      </c>
      <c r="G180" s="323" t="s">
        <v>800</v>
      </c>
      <c r="H180" s="294">
        <v>3199678</v>
      </c>
      <c r="I180" s="294">
        <v>0</v>
      </c>
      <c r="J180" s="294">
        <v>448054</v>
      </c>
      <c r="K180" s="294">
        <v>0</v>
      </c>
      <c r="L180" s="294">
        <v>346490</v>
      </c>
      <c r="M180" s="294">
        <v>13657</v>
      </c>
      <c r="N180" s="294">
        <v>0</v>
      </c>
      <c r="O180" s="294">
        <v>0</v>
      </c>
      <c r="P180" s="294">
        <v>95273</v>
      </c>
      <c r="Q180" s="294">
        <v>961</v>
      </c>
      <c r="R180" s="294">
        <v>0</v>
      </c>
      <c r="S180" s="294">
        <v>0</v>
      </c>
      <c r="T180" s="294">
        <v>5341</v>
      </c>
      <c r="U180" s="294">
        <v>0</v>
      </c>
      <c r="V180" s="294">
        <v>0</v>
      </c>
      <c r="W180" s="294">
        <v>6329</v>
      </c>
      <c r="X180" s="294">
        <v>74838</v>
      </c>
      <c r="Y180" s="294">
        <v>4190621</v>
      </c>
      <c r="Z180" s="294">
        <v>1450973</v>
      </c>
      <c r="AA180" s="294">
        <v>8238</v>
      </c>
      <c r="AB180" s="294">
        <v>5221</v>
      </c>
      <c r="AC180" s="294">
        <v>723625</v>
      </c>
      <c r="AD180" s="294">
        <v>2759</v>
      </c>
      <c r="AE180" s="294">
        <v>0</v>
      </c>
      <c r="AF180" s="294">
        <v>708265</v>
      </c>
      <c r="AG180" s="294">
        <v>107668</v>
      </c>
      <c r="AH180" s="294">
        <v>2468</v>
      </c>
      <c r="AI180" s="294">
        <v>0</v>
      </c>
      <c r="AJ180" s="294">
        <v>633</v>
      </c>
      <c r="AK180" s="294">
        <v>43035</v>
      </c>
      <c r="AL180" s="294">
        <v>1245</v>
      </c>
      <c r="AM180" s="294">
        <v>11942</v>
      </c>
      <c r="AN180" s="294">
        <v>18309</v>
      </c>
      <c r="AO180" s="294">
        <v>66556</v>
      </c>
      <c r="AP180" s="294">
        <v>27030</v>
      </c>
      <c r="AQ180" s="294">
        <v>29307</v>
      </c>
      <c r="AR180" s="294">
        <v>144691</v>
      </c>
      <c r="AS180" s="294">
        <v>7735</v>
      </c>
      <c r="AT180" s="294">
        <v>33118</v>
      </c>
      <c r="AU180" s="294">
        <v>32171</v>
      </c>
      <c r="AV180" s="294">
        <v>12566</v>
      </c>
      <c r="AW180" s="294">
        <v>3612</v>
      </c>
      <c r="AX180" s="294">
        <v>121857</v>
      </c>
      <c r="AY180" s="294">
        <v>468899</v>
      </c>
      <c r="AZ180" s="294">
        <v>13588</v>
      </c>
      <c r="BA180" s="294">
        <v>151382</v>
      </c>
      <c r="BB180" s="294">
        <v>0</v>
      </c>
      <c r="BC180" s="294">
        <v>0</v>
      </c>
      <c r="BD180" s="294">
        <v>0</v>
      </c>
      <c r="BE180" s="294">
        <v>4196892</v>
      </c>
      <c r="BF180" s="294">
        <v>320316</v>
      </c>
      <c r="BG180" s="294">
        <v>-6271</v>
      </c>
      <c r="BH180" s="294">
        <v>314045</v>
      </c>
      <c r="BI180" s="294">
        <v>10581</v>
      </c>
      <c r="BJ180" s="294">
        <v>0</v>
      </c>
      <c r="BK180" s="294">
        <v>0</v>
      </c>
      <c r="BL180" s="294">
        <v>10581</v>
      </c>
      <c r="BM180" s="294">
        <v>0</v>
      </c>
      <c r="BN180" s="294">
        <v>37767</v>
      </c>
      <c r="BO180" s="294">
        <v>0</v>
      </c>
      <c r="BP180" s="294">
        <v>0</v>
      </c>
      <c r="BQ180" s="294">
        <v>37767</v>
      </c>
      <c r="BR180" s="294">
        <v>42787</v>
      </c>
      <c r="BS180" s="294">
        <v>-27186</v>
      </c>
      <c r="BT180" s="294">
        <v>15601</v>
      </c>
      <c r="BU180" s="294">
        <v>0</v>
      </c>
      <c r="BV180" s="294">
        <v>0</v>
      </c>
      <c r="BW180" s="294">
        <v>0</v>
      </c>
      <c r="BX180" s="294">
        <v>0</v>
      </c>
      <c r="BY180" s="294">
        <v>0</v>
      </c>
      <c r="BZ180" s="294">
        <v>0</v>
      </c>
      <c r="CA180" s="294">
        <v>0</v>
      </c>
      <c r="CB180" s="294">
        <v>0</v>
      </c>
      <c r="CC180" s="294">
        <v>0</v>
      </c>
      <c r="CD180" s="294">
        <v>314045</v>
      </c>
      <c r="CE180" s="294">
        <v>0</v>
      </c>
      <c r="CF180" s="294">
        <v>15601</v>
      </c>
      <c r="CG180" s="294">
        <v>0</v>
      </c>
      <c r="CH180" s="294">
        <v>0</v>
      </c>
      <c r="CI180" s="294">
        <f t="shared" si="2"/>
        <v>329646</v>
      </c>
      <c r="CJ180" s="294">
        <v>0</v>
      </c>
      <c r="CK180" s="294">
        <v>0</v>
      </c>
      <c r="CL180" s="294">
        <v>0</v>
      </c>
      <c r="CM180" s="294">
        <v>0</v>
      </c>
      <c r="CN180" s="294">
        <v>3550</v>
      </c>
      <c r="CO180" s="294">
        <v>0</v>
      </c>
      <c r="CP180" s="294">
        <v>0</v>
      </c>
      <c r="CQ180" s="294">
        <v>0</v>
      </c>
      <c r="CR180" s="294">
        <v>0</v>
      </c>
      <c r="CS180" s="294">
        <v>3550</v>
      </c>
      <c r="CT180" s="294">
        <v>0</v>
      </c>
      <c r="CU180" s="294">
        <v>0</v>
      </c>
      <c r="CV180" s="294">
        <v>0</v>
      </c>
      <c r="CW180" s="294">
        <v>0</v>
      </c>
      <c r="CX180" s="294"/>
      <c r="CY180" s="294"/>
      <c r="CZ180" s="294"/>
      <c r="DA180" s="294">
        <v>353789</v>
      </c>
      <c r="DB180" s="294">
        <v>353789</v>
      </c>
      <c r="DC180" s="294">
        <v>0</v>
      </c>
      <c r="DD180" s="294">
        <v>20140</v>
      </c>
      <c r="DE180" s="294">
        <v>0</v>
      </c>
      <c r="DF180" s="294">
        <v>0</v>
      </c>
      <c r="DG180" s="294">
        <v>-36931</v>
      </c>
      <c r="DH180" s="294">
        <v>-10903</v>
      </c>
      <c r="DI180" s="294">
        <v>0</v>
      </c>
      <c r="DJ180" s="294">
        <v>0</v>
      </c>
      <c r="DK180" s="294">
        <v>-27694</v>
      </c>
      <c r="DL180" s="294">
        <v>0</v>
      </c>
      <c r="DM180" s="294">
        <v>0</v>
      </c>
      <c r="DN180" s="294">
        <v>0</v>
      </c>
      <c r="DO180" s="294">
        <v>0</v>
      </c>
      <c r="DP180" s="294">
        <v>0</v>
      </c>
      <c r="DQ180" s="324">
        <v>3.8908199999999996E-9</v>
      </c>
      <c r="DR180" s="295">
        <v>3006749</v>
      </c>
      <c r="DS180" s="325">
        <v>1190143</v>
      </c>
      <c r="DT180" s="295">
        <v>468899</v>
      </c>
      <c r="DU180" s="295">
        <v>101575</v>
      </c>
      <c r="DV180" s="295">
        <v>0</v>
      </c>
      <c r="DW180" s="295">
        <v>0</v>
      </c>
    </row>
    <row r="181" spans="1:127">
      <c r="A181" s="321">
        <v>3323</v>
      </c>
      <c r="B181" s="322" t="s">
        <v>378</v>
      </c>
      <c r="C181" s="321">
        <v>3323</v>
      </c>
      <c r="D181" s="323" t="s">
        <v>817</v>
      </c>
      <c r="E181" s="323" t="s">
        <v>539</v>
      </c>
      <c r="F181" s="323" t="s">
        <v>818</v>
      </c>
      <c r="G181" s="323" t="s">
        <v>537</v>
      </c>
      <c r="H181" s="294">
        <v>1317321.97</v>
      </c>
      <c r="I181" s="294">
        <v>0</v>
      </c>
      <c r="J181" s="294">
        <v>95494.84</v>
      </c>
      <c r="K181" s="294">
        <v>0</v>
      </c>
      <c r="L181" s="294">
        <v>137980</v>
      </c>
      <c r="M181" s="294">
        <v>600</v>
      </c>
      <c r="N181" s="294">
        <v>0</v>
      </c>
      <c r="O181" s="294">
        <v>0</v>
      </c>
      <c r="P181" s="294">
        <v>14659.09</v>
      </c>
      <c r="Q181" s="294">
        <v>10804</v>
      </c>
      <c r="R181" s="294">
        <v>0</v>
      </c>
      <c r="S181" s="294">
        <v>0</v>
      </c>
      <c r="T181" s="294">
        <v>1579</v>
      </c>
      <c r="U181" s="294">
        <v>0</v>
      </c>
      <c r="V181" s="294">
        <v>0</v>
      </c>
      <c r="W181" s="294">
        <v>5677.5</v>
      </c>
      <c r="X181" s="294">
        <v>42245</v>
      </c>
      <c r="Y181" s="294">
        <v>1626361.4000000001</v>
      </c>
      <c r="Z181" s="294">
        <v>444874</v>
      </c>
      <c r="AA181" s="294">
        <v>0</v>
      </c>
      <c r="AB181" s="294">
        <v>176351</v>
      </c>
      <c r="AC181" s="294">
        <v>73463</v>
      </c>
      <c r="AD181" s="294">
        <v>110911</v>
      </c>
      <c r="AE181" s="294">
        <v>0</v>
      </c>
      <c r="AF181" s="294">
        <v>21257</v>
      </c>
      <c r="AG181" s="294">
        <v>363</v>
      </c>
      <c r="AH181" s="294">
        <v>2461</v>
      </c>
      <c r="AI181" s="294">
        <v>0</v>
      </c>
      <c r="AJ181" s="294">
        <v>0</v>
      </c>
      <c r="AK181" s="294">
        <v>83002.8</v>
      </c>
      <c r="AL181" s="294">
        <v>4595</v>
      </c>
      <c r="AM181" s="294">
        <v>6271</v>
      </c>
      <c r="AN181" s="294">
        <v>4298</v>
      </c>
      <c r="AO181" s="294">
        <v>18406</v>
      </c>
      <c r="AP181" s="294">
        <v>3285.98</v>
      </c>
      <c r="AQ181" s="294">
        <v>0</v>
      </c>
      <c r="AR181" s="294">
        <v>20792.5</v>
      </c>
      <c r="AS181" s="294">
        <v>11255</v>
      </c>
      <c r="AT181" s="294">
        <v>0</v>
      </c>
      <c r="AU181" s="294">
        <v>10929</v>
      </c>
      <c r="AV181" s="294">
        <v>11041.75</v>
      </c>
      <c r="AW181" s="294">
        <v>4071</v>
      </c>
      <c r="AX181" s="294">
        <v>126294.31999999999</v>
      </c>
      <c r="AY181" s="294">
        <v>260542.24</v>
      </c>
      <c r="AZ181" s="294">
        <v>26275.65</v>
      </c>
      <c r="BA181" s="294">
        <v>126595.5</v>
      </c>
      <c r="BB181" s="294">
        <v>0</v>
      </c>
      <c r="BC181" s="294">
        <v>0</v>
      </c>
      <c r="BD181" s="294">
        <v>0</v>
      </c>
      <c r="BE181" s="294">
        <v>1547335.74</v>
      </c>
      <c r="BF181" s="294">
        <v>232186.5299999998</v>
      </c>
      <c r="BG181" s="294">
        <v>79025.660000000149</v>
      </c>
      <c r="BH181" s="294">
        <v>311212.18999999994</v>
      </c>
      <c r="BI181" s="294">
        <v>6810.75</v>
      </c>
      <c r="BJ181" s="294">
        <v>0</v>
      </c>
      <c r="BK181" s="294">
        <v>0</v>
      </c>
      <c r="BL181" s="294">
        <v>6810.75</v>
      </c>
      <c r="BM181" s="294">
        <v>0</v>
      </c>
      <c r="BN181" s="294">
        <v>6810.75</v>
      </c>
      <c r="BO181" s="294">
        <v>0</v>
      </c>
      <c r="BP181" s="294">
        <v>0</v>
      </c>
      <c r="BQ181" s="294">
        <v>6810.75</v>
      </c>
      <c r="BR181" s="294">
        <v>0</v>
      </c>
      <c r="BS181" s="294">
        <v>0</v>
      </c>
      <c r="BT181" s="294">
        <v>0</v>
      </c>
      <c r="BU181" s="294">
        <v>0</v>
      </c>
      <c r="BV181" s="294">
        <v>0</v>
      </c>
      <c r="BW181" s="294">
        <v>0</v>
      </c>
      <c r="BX181" s="294">
        <v>0</v>
      </c>
      <c r="BY181" s="294">
        <v>0</v>
      </c>
      <c r="BZ181" s="294">
        <v>0</v>
      </c>
      <c r="CA181" s="294">
        <v>0</v>
      </c>
      <c r="CB181" s="294">
        <v>0</v>
      </c>
      <c r="CC181" s="294">
        <v>0</v>
      </c>
      <c r="CD181" s="294">
        <v>311212.18999999994</v>
      </c>
      <c r="CE181" s="294">
        <v>0</v>
      </c>
      <c r="CF181" s="294">
        <v>0</v>
      </c>
      <c r="CG181" s="294">
        <v>0</v>
      </c>
      <c r="CH181" s="294">
        <v>0</v>
      </c>
      <c r="CI181" s="294">
        <f t="shared" si="2"/>
        <v>311212.18999999994</v>
      </c>
      <c r="CJ181" s="294">
        <v>596428.04</v>
      </c>
      <c r="CK181" s="294">
        <v>140232.01</v>
      </c>
      <c r="CL181" s="294">
        <v>0</v>
      </c>
      <c r="CM181" s="294">
        <v>456196.03</v>
      </c>
      <c r="CN181" s="294">
        <v>0</v>
      </c>
      <c r="CO181" s="294">
        <v>0</v>
      </c>
      <c r="CP181" s="294">
        <v>15773.92</v>
      </c>
      <c r="CQ181" s="294">
        <v>5621.59</v>
      </c>
      <c r="CR181" s="294">
        <v>0</v>
      </c>
      <c r="CS181" s="294">
        <v>477591.54000000004</v>
      </c>
      <c r="CT181" s="294">
        <v>0</v>
      </c>
      <c r="CU181" s="294">
        <v>0</v>
      </c>
      <c r="CV181" s="294">
        <v>0</v>
      </c>
      <c r="CW181" s="294">
        <v>0</v>
      </c>
      <c r="CX181" s="294"/>
      <c r="CY181" s="294"/>
      <c r="CZ181" s="294"/>
      <c r="DA181" s="294">
        <v>0</v>
      </c>
      <c r="DB181" s="294">
        <v>0</v>
      </c>
      <c r="DC181" s="294">
        <v>0</v>
      </c>
      <c r="DD181" s="294">
        <v>142.09</v>
      </c>
      <c r="DE181" s="294">
        <v>0</v>
      </c>
      <c r="DF181" s="294">
        <v>0</v>
      </c>
      <c r="DG181" s="294">
        <v>-12195</v>
      </c>
      <c r="DH181" s="294">
        <v>-51575.119999999995</v>
      </c>
      <c r="DI181" s="294">
        <v>0</v>
      </c>
      <c r="DJ181" s="294">
        <v>0</v>
      </c>
      <c r="DK181" s="294">
        <v>-63628.03</v>
      </c>
      <c r="DL181" s="294">
        <v>125</v>
      </c>
      <c r="DM181" s="294">
        <v>0</v>
      </c>
      <c r="DN181" s="294">
        <v>-39684.300000000003</v>
      </c>
      <c r="DO181" s="294">
        <v>-63192.02</v>
      </c>
      <c r="DP181" s="294">
        <v>0</v>
      </c>
      <c r="DQ181" s="324">
        <v>0</v>
      </c>
      <c r="DR181" s="295">
        <v>827219</v>
      </c>
      <c r="DS181" s="325">
        <v>720116.74</v>
      </c>
      <c r="DT181" s="295">
        <v>260542.24</v>
      </c>
      <c r="DU181" s="295">
        <v>27042.09</v>
      </c>
      <c r="DV181" s="295">
        <v>0</v>
      </c>
      <c r="DW181" s="295">
        <v>-102751.32</v>
      </c>
    </row>
    <row r="182" spans="1:127">
      <c r="A182" s="321">
        <v>7045</v>
      </c>
      <c r="B182" s="322" t="s">
        <v>521</v>
      </c>
      <c r="C182" s="321">
        <v>7045</v>
      </c>
      <c r="D182" s="323" t="s">
        <v>817</v>
      </c>
      <c r="E182" s="323" t="s">
        <v>541</v>
      </c>
      <c r="F182" s="323" t="s">
        <v>818</v>
      </c>
      <c r="G182" s="323" t="s">
        <v>537</v>
      </c>
      <c r="H182" s="294">
        <v>3188829.68</v>
      </c>
      <c r="I182" s="294">
        <v>0</v>
      </c>
      <c r="J182" s="294">
        <v>3526042.39</v>
      </c>
      <c r="K182" s="294">
        <v>0</v>
      </c>
      <c r="L182" s="294">
        <v>180500</v>
      </c>
      <c r="M182" s="294">
        <v>5352</v>
      </c>
      <c r="N182" s="294">
        <v>0</v>
      </c>
      <c r="O182" s="294">
        <v>0</v>
      </c>
      <c r="P182" s="294">
        <v>191388.97000000003</v>
      </c>
      <c r="Q182" s="294">
        <v>105489.63000000002</v>
      </c>
      <c r="R182" s="294">
        <v>0</v>
      </c>
      <c r="S182" s="294">
        <v>0</v>
      </c>
      <c r="T182" s="294">
        <v>2859.05</v>
      </c>
      <c r="U182" s="294">
        <v>0</v>
      </c>
      <c r="V182" s="294">
        <v>0</v>
      </c>
      <c r="W182" s="294">
        <v>45380.06</v>
      </c>
      <c r="X182" s="294">
        <v>26565</v>
      </c>
      <c r="Y182" s="294">
        <v>7272406.7799999993</v>
      </c>
      <c r="Z182" s="294">
        <v>2678860.4900000002</v>
      </c>
      <c r="AA182" s="294">
        <v>0</v>
      </c>
      <c r="AB182" s="294">
        <v>2333417.86</v>
      </c>
      <c r="AC182" s="294">
        <v>67806.340000000084</v>
      </c>
      <c r="AD182" s="294">
        <v>152641.92000000004</v>
      </c>
      <c r="AE182" s="294">
        <v>0</v>
      </c>
      <c r="AF182" s="294">
        <v>90712.149999999907</v>
      </c>
      <c r="AG182" s="294">
        <v>16794.699999999997</v>
      </c>
      <c r="AH182" s="294">
        <v>7353.5</v>
      </c>
      <c r="AI182" s="294">
        <v>10558</v>
      </c>
      <c r="AJ182" s="294">
        <v>0</v>
      </c>
      <c r="AK182" s="294">
        <v>36698.680000000008</v>
      </c>
      <c r="AL182" s="294">
        <v>0</v>
      </c>
      <c r="AM182" s="294">
        <v>89176.38</v>
      </c>
      <c r="AN182" s="294">
        <v>13255.37</v>
      </c>
      <c r="AO182" s="294">
        <v>95821.14</v>
      </c>
      <c r="AP182" s="294">
        <v>0</v>
      </c>
      <c r="AQ182" s="294">
        <v>10983.18</v>
      </c>
      <c r="AR182" s="294">
        <v>246036.56</v>
      </c>
      <c r="AS182" s="294">
        <v>1565</v>
      </c>
      <c r="AT182" s="294">
        <v>4427.7</v>
      </c>
      <c r="AU182" s="294">
        <v>21742.18</v>
      </c>
      <c r="AV182" s="294">
        <v>5139.75</v>
      </c>
      <c r="AW182" s="294">
        <v>4464</v>
      </c>
      <c r="AX182" s="294">
        <v>208106.19</v>
      </c>
      <c r="AY182" s="294">
        <v>109316.6</v>
      </c>
      <c r="AZ182" s="294">
        <v>132856.73000000001</v>
      </c>
      <c r="BA182" s="294">
        <v>887536.53</v>
      </c>
      <c r="BB182" s="294">
        <v>-10505</v>
      </c>
      <c r="BC182" s="294">
        <v>0</v>
      </c>
      <c r="BD182" s="294">
        <v>0</v>
      </c>
      <c r="BE182" s="294">
        <v>7214765.9499999993</v>
      </c>
      <c r="BF182" s="294">
        <v>1087187.9999999991</v>
      </c>
      <c r="BG182" s="294">
        <v>57640.830000000075</v>
      </c>
      <c r="BH182" s="294">
        <v>1144828.8299999991</v>
      </c>
      <c r="BI182" s="294">
        <v>17344.75</v>
      </c>
      <c r="BJ182" s="294">
        <v>0</v>
      </c>
      <c r="BK182" s="294">
        <v>0</v>
      </c>
      <c r="BL182" s="294">
        <v>17344.75</v>
      </c>
      <c r="BM182" s="294">
        <v>0</v>
      </c>
      <c r="BN182" s="294">
        <v>29934.12</v>
      </c>
      <c r="BO182" s="294">
        <v>0</v>
      </c>
      <c r="BP182" s="294">
        <v>0</v>
      </c>
      <c r="BQ182" s="294">
        <v>29934.12</v>
      </c>
      <c r="BR182" s="294">
        <v>68400</v>
      </c>
      <c r="BS182" s="294">
        <v>-12589.369999999999</v>
      </c>
      <c r="BT182" s="294">
        <v>55810.630000000005</v>
      </c>
      <c r="BU182" s="294">
        <v>0</v>
      </c>
      <c r="BV182" s="294">
        <v>0</v>
      </c>
      <c r="BW182" s="294">
        <v>0</v>
      </c>
      <c r="BX182" s="294">
        <v>0</v>
      </c>
      <c r="BY182" s="294">
        <v>0</v>
      </c>
      <c r="BZ182" s="294">
        <v>0</v>
      </c>
      <c r="CA182" s="294">
        <v>0</v>
      </c>
      <c r="CB182" s="294">
        <v>0</v>
      </c>
      <c r="CC182" s="294">
        <v>0</v>
      </c>
      <c r="CD182" s="294">
        <v>1144828.8299999991</v>
      </c>
      <c r="CE182" s="294">
        <v>0</v>
      </c>
      <c r="CF182" s="294">
        <v>55810.630000000005</v>
      </c>
      <c r="CG182" s="294">
        <v>0</v>
      </c>
      <c r="CH182" s="294">
        <v>0</v>
      </c>
      <c r="CI182" s="294">
        <f t="shared" si="2"/>
        <v>1200639.459999999</v>
      </c>
      <c r="CJ182" s="294">
        <v>1652158.73</v>
      </c>
      <c r="CK182" s="294">
        <v>0</v>
      </c>
      <c r="CL182" s="294">
        <v>0</v>
      </c>
      <c r="CM182" s="294">
        <v>1652158.73</v>
      </c>
      <c r="CN182" s="294">
        <v>0</v>
      </c>
      <c r="CO182" s="294">
        <v>0</v>
      </c>
      <c r="CP182" s="294">
        <v>20169.07</v>
      </c>
      <c r="CQ182" s="294">
        <v>0</v>
      </c>
      <c r="CR182" s="294">
        <v>-386703.39</v>
      </c>
      <c r="CS182" s="294">
        <v>1285624.4100000001</v>
      </c>
      <c r="CT182" s="294">
        <v>0</v>
      </c>
      <c r="CU182" s="294">
        <v>0</v>
      </c>
      <c r="CV182" s="294">
        <v>0</v>
      </c>
      <c r="CW182" s="294">
        <v>0</v>
      </c>
      <c r="CX182" s="294"/>
      <c r="CY182" s="294"/>
      <c r="CZ182" s="294"/>
      <c r="DA182" s="294">
        <v>0</v>
      </c>
      <c r="DB182" s="294">
        <v>0</v>
      </c>
      <c r="DC182" s="294">
        <v>0</v>
      </c>
      <c r="DD182" s="294">
        <v>34927.42</v>
      </c>
      <c r="DE182" s="294">
        <v>0</v>
      </c>
      <c r="DF182" s="294">
        <v>0</v>
      </c>
      <c r="DG182" s="294">
        <v>-58074.09</v>
      </c>
      <c r="DH182" s="294">
        <v>-61838.28</v>
      </c>
      <c r="DI182" s="294">
        <v>0</v>
      </c>
      <c r="DJ182" s="294">
        <v>0</v>
      </c>
      <c r="DK182" s="294">
        <v>-84984.95</v>
      </c>
      <c r="DL182" s="294">
        <v>0</v>
      </c>
      <c r="DM182" s="294">
        <v>0</v>
      </c>
      <c r="DN182" s="294">
        <v>0</v>
      </c>
      <c r="DO182" s="294">
        <v>0</v>
      </c>
      <c r="DP182" s="294">
        <v>0</v>
      </c>
      <c r="DQ182" s="324">
        <v>0</v>
      </c>
      <c r="DR182" s="295">
        <v>5340233.46</v>
      </c>
      <c r="DS182" s="325">
        <v>1874532.4899999993</v>
      </c>
      <c r="DT182" s="295">
        <v>109316.6</v>
      </c>
      <c r="DU182" s="295">
        <v>299737.65000000002</v>
      </c>
      <c r="DV182" s="295">
        <v>0</v>
      </c>
      <c r="DW182" s="295">
        <v>0</v>
      </c>
    </row>
    <row r="183" spans="1:127">
      <c r="A183" s="321">
        <v>2192</v>
      </c>
      <c r="B183" s="322" t="s">
        <v>472</v>
      </c>
      <c r="C183" s="321">
        <v>2192</v>
      </c>
      <c r="D183" s="323" t="s">
        <v>817</v>
      </c>
      <c r="E183" s="323" t="s">
        <v>539</v>
      </c>
      <c r="F183" s="323" t="s">
        <v>818</v>
      </c>
      <c r="G183" s="323" t="s">
        <v>537</v>
      </c>
      <c r="H183" s="294">
        <v>2709346.9</v>
      </c>
      <c r="I183" s="294">
        <v>0</v>
      </c>
      <c r="J183" s="294">
        <v>63206.080000000002</v>
      </c>
      <c r="K183" s="294">
        <v>0</v>
      </c>
      <c r="L183" s="294">
        <v>330640</v>
      </c>
      <c r="M183" s="294">
        <v>0</v>
      </c>
      <c r="N183" s="294">
        <v>0</v>
      </c>
      <c r="O183" s="294">
        <v>0</v>
      </c>
      <c r="P183" s="294">
        <v>75264.160000000003</v>
      </c>
      <c r="Q183" s="294">
        <v>0</v>
      </c>
      <c r="R183" s="294">
        <v>0</v>
      </c>
      <c r="S183" s="294">
        <v>0</v>
      </c>
      <c r="T183" s="294">
        <v>9334.7999999999993</v>
      </c>
      <c r="U183" s="294">
        <v>27625</v>
      </c>
      <c r="V183" s="294">
        <v>0</v>
      </c>
      <c r="W183" s="294">
        <v>11278.92</v>
      </c>
      <c r="X183" s="294">
        <v>20904</v>
      </c>
      <c r="Y183" s="294">
        <v>3247599.86</v>
      </c>
      <c r="Z183" s="294">
        <v>1515829.0900000061</v>
      </c>
      <c r="AA183" s="294">
        <v>0</v>
      </c>
      <c r="AB183" s="294">
        <v>499018.46</v>
      </c>
      <c r="AC183" s="294">
        <v>56631.410000000149</v>
      </c>
      <c r="AD183" s="294">
        <v>382067.02</v>
      </c>
      <c r="AE183" s="294">
        <v>0</v>
      </c>
      <c r="AF183" s="294">
        <v>91398.789999999339</v>
      </c>
      <c r="AG183" s="294">
        <v>9959.3600000000624</v>
      </c>
      <c r="AH183" s="294">
        <v>5645.5999999999985</v>
      </c>
      <c r="AI183" s="294">
        <v>0</v>
      </c>
      <c r="AJ183" s="294">
        <v>0</v>
      </c>
      <c r="AK183" s="294">
        <v>41535.489999999991</v>
      </c>
      <c r="AL183" s="294">
        <v>553.69000000000005</v>
      </c>
      <c r="AM183" s="294">
        <v>0</v>
      </c>
      <c r="AN183" s="294">
        <v>11065.97</v>
      </c>
      <c r="AO183" s="294">
        <v>67561.27</v>
      </c>
      <c r="AP183" s="294">
        <v>33654.800000000003</v>
      </c>
      <c r="AQ183" s="294">
        <v>29646.040000000005</v>
      </c>
      <c r="AR183" s="294">
        <v>122086.28000000014</v>
      </c>
      <c r="AS183" s="294">
        <v>25991.889999999992</v>
      </c>
      <c r="AT183" s="294">
        <v>0</v>
      </c>
      <c r="AU183" s="294">
        <v>56975.25</v>
      </c>
      <c r="AV183" s="294">
        <v>12566.4</v>
      </c>
      <c r="AW183" s="294">
        <v>7820</v>
      </c>
      <c r="AX183" s="294">
        <v>163577.33000000002</v>
      </c>
      <c r="AY183" s="294">
        <v>135000.71</v>
      </c>
      <c r="AZ183" s="294">
        <v>41465.72</v>
      </c>
      <c r="BA183" s="294">
        <v>137637.49</v>
      </c>
      <c r="BB183" s="294">
        <v>0</v>
      </c>
      <c r="BC183" s="294">
        <v>0</v>
      </c>
      <c r="BD183" s="294">
        <v>326.89</v>
      </c>
      <c r="BE183" s="294">
        <v>3448014.9500000062</v>
      </c>
      <c r="BF183" s="294">
        <v>544012.94999999984</v>
      </c>
      <c r="BG183" s="294">
        <v>-200415.09000000637</v>
      </c>
      <c r="BH183" s="294">
        <v>343597.85999999347</v>
      </c>
      <c r="BI183" s="294">
        <v>9681.25</v>
      </c>
      <c r="BJ183" s="294">
        <v>0</v>
      </c>
      <c r="BK183" s="294">
        <v>326.89</v>
      </c>
      <c r="BL183" s="294">
        <v>10008.14</v>
      </c>
      <c r="BM183" s="294">
        <v>0</v>
      </c>
      <c r="BN183" s="294">
        <v>10172.959999999999</v>
      </c>
      <c r="BO183" s="294">
        <v>0</v>
      </c>
      <c r="BP183" s="294">
        <v>0</v>
      </c>
      <c r="BQ183" s="294">
        <v>10172.959999999999</v>
      </c>
      <c r="BR183" s="294">
        <v>164.81999999999971</v>
      </c>
      <c r="BS183" s="294">
        <v>-164.81999999999971</v>
      </c>
      <c r="BT183" s="294">
        <v>0</v>
      </c>
      <c r="BU183" s="294">
        <v>0</v>
      </c>
      <c r="BV183" s="294">
        <v>0</v>
      </c>
      <c r="BW183" s="294">
        <v>0</v>
      </c>
      <c r="BX183" s="294">
        <v>0</v>
      </c>
      <c r="BY183" s="294">
        <v>0</v>
      </c>
      <c r="BZ183" s="294">
        <v>0</v>
      </c>
      <c r="CA183" s="294">
        <v>0</v>
      </c>
      <c r="CB183" s="294">
        <v>0</v>
      </c>
      <c r="CC183" s="294">
        <v>0</v>
      </c>
      <c r="CD183" s="294">
        <v>343597.85999999347</v>
      </c>
      <c r="CE183" s="294">
        <v>0</v>
      </c>
      <c r="CF183" s="294">
        <v>0</v>
      </c>
      <c r="CG183" s="294">
        <v>0</v>
      </c>
      <c r="CH183" s="294">
        <v>0</v>
      </c>
      <c r="CI183" s="294">
        <f t="shared" si="2"/>
        <v>343597.85999999347</v>
      </c>
      <c r="CJ183" s="294">
        <v>589940.46</v>
      </c>
      <c r="CK183" s="294">
        <v>0</v>
      </c>
      <c r="CL183" s="294">
        <v>0</v>
      </c>
      <c r="CM183" s="294">
        <v>589940.46</v>
      </c>
      <c r="CN183" s="294">
        <v>0</v>
      </c>
      <c r="CO183" s="294">
        <v>0</v>
      </c>
      <c r="CP183" s="294">
        <v>9796.36</v>
      </c>
      <c r="CQ183" s="294">
        <v>15.55</v>
      </c>
      <c r="CR183" s="294">
        <v>-240485.78</v>
      </c>
      <c r="CS183" s="294">
        <v>359266.58999999997</v>
      </c>
      <c r="CT183" s="294">
        <v>0</v>
      </c>
      <c r="CU183" s="294">
        <v>0</v>
      </c>
      <c r="CV183" s="294">
        <v>0</v>
      </c>
      <c r="CW183" s="294">
        <v>0</v>
      </c>
      <c r="CX183" s="294"/>
      <c r="CY183" s="294"/>
      <c r="CZ183" s="294"/>
      <c r="DA183" s="294">
        <v>0</v>
      </c>
      <c r="DB183" s="294">
        <v>0</v>
      </c>
      <c r="DC183" s="294">
        <v>0</v>
      </c>
      <c r="DD183" s="294">
        <v>16173.6</v>
      </c>
      <c r="DE183" s="294">
        <v>0</v>
      </c>
      <c r="DF183" s="294">
        <v>0</v>
      </c>
      <c r="DG183" s="294">
        <v>-27704.32</v>
      </c>
      <c r="DH183" s="294">
        <v>0</v>
      </c>
      <c r="DI183" s="294">
        <v>0</v>
      </c>
      <c r="DJ183" s="294">
        <v>0</v>
      </c>
      <c r="DK183" s="294">
        <v>-11530.72</v>
      </c>
      <c r="DL183" s="294">
        <v>0</v>
      </c>
      <c r="DM183" s="294">
        <v>0</v>
      </c>
      <c r="DN183" s="294">
        <v>0</v>
      </c>
      <c r="DO183" s="294">
        <v>-4138</v>
      </c>
      <c r="DP183" s="294">
        <v>0</v>
      </c>
      <c r="DQ183" s="324"/>
      <c r="DR183" s="295">
        <v>2554904.130000005</v>
      </c>
      <c r="DS183" s="325">
        <v>893110.82000000123</v>
      </c>
      <c r="DT183" s="295">
        <v>135000.71</v>
      </c>
      <c r="DU183" s="295">
        <v>84598.96</v>
      </c>
      <c r="DV183" s="295">
        <v>27625</v>
      </c>
      <c r="DW183" s="295">
        <v>-4138</v>
      </c>
    </row>
    <row r="184" spans="1:127">
      <c r="A184" s="321">
        <v>7014</v>
      </c>
      <c r="B184" s="322" t="s">
        <v>379</v>
      </c>
      <c r="C184" s="321">
        <v>7014</v>
      </c>
      <c r="D184" s="323" t="s">
        <v>817</v>
      </c>
      <c r="E184" s="323" t="s">
        <v>541</v>
      </c>
      <c r="F184" s="323" t="s">
        <v>818</v>
      </c>
      <c r="G184" s="323" t="s">
        <v>537</v>
      </c>
      <c r="H184" s="294">
        <v>3141587.74</v>
      </c>
      <c r="I184" s="294">
        <v>0</v>
      </c>
      <c r="J184" s="294">
        <v>4946809.95</v>
      </c>
      <c r="K184" s="294">
        <v>0</v>
      </c>
      <c r="L184" s="294">
        <v>164030</v>
      </c>
      <c r="M184" s="294">
        <v>4313.8599999999997</v>
      </c>
      <c r="N184" s="294">
        <v>11850</v>
      </c>
      <c r="O184" s="294">
        <v>0</v>
      </c>
      <c r="P184" s="294">
        <v>241312.85</v>
      </c>
      <c r="Q184" s="294">
        <v>27336.77</v>
      </c>
      <c r="R184" s="294">
        <v>0</v>
      </c>
      <c r="S184" s="294">
        <v>0</v>
      </c>
      <c r="T184" s="294">
        <v>0</v>
      </c>
      <c r="U184" s="294">
        <v>7762.59</v>
      </c>
      <c r="V184" s="294">
        <v>0</v>
      </c>
      <c r="W184" s="294">
        <v>15994.94</v>
      </c>
      <c r="X184" s="294">
        <v>27728</v>
      </c>
      <c r="Y184" s="294">
        <v>8588726.6999999993</v>
      </c>
      <c r="Z184" s="294">
        <v>2232800.4900000002</v>
      </c>
      <c r="AA184" s="294">
        <v>0</v>
      </c>
      <c r="AB184" s="294">
        <v>2586036.56</v>
      </c>
      <c r="AC184" s="294">
        <v>68056.39</v>
      </c>
      <c r="AD184" s="294">
        <v>334120.46999999997</v>
      </c>
      <c r="AE184" s="294">
        <v>0</v>
      </c>
      <c r="AF184" s="294">
        <v>45207.07</v>
      </c>
      <c r="AG184" s="294">
        <v>27516.67</v>
      </c>
      <c r="AH184" s="294">
        <v>37118.39</v>
      </c>
      <c r="AI184" s="294">
        <v>0</v>
      </c>
      <c r="AJ184" s="294">
        <v>0</v>
      </c>
      <c r="AK184" s="294">
        <v>124238.18</v>
      </c>
      <c r="AL184" s="294">
        <v>7881.6</v>
      </c>
      <c r="AM184" s="294">
        <v>135291.34</v>
      </c>
      <c r="AN184" s="294">
        <v>17008.490000000002</v>
      </c>
      <c r="AO184" s="294">
        <v>135755.16</v>
      </c>
      <c r="AP184" s="294">
        <v>0</v>
      </c>
      <c r="AQ184" s="294">
        <v>31383.599999999999</v>
      </c>
      <c r="AR184" s="294">
        <v>57263.53</v>
      </c>
      <c r="AS184" s="294">
        <v>67698.97</v>
      </c>
      <c r="AT184" s="294">
        <v>4260.82</v>
      </c>
      <c r="AU184" s="294">
        <v>23950.31</v>
      </c>
      <c r="AV184" s="294">
        <v>14195.619999999999</v>
      </c>
      <c r="AW184" s="294">
        <v>0</v>
      </c>
      <c r="AX184" s="294">
        <v>182888.66</v>
      </c>
      <c r="AY184" s="294">
        <v>1509428.57</v>
      </c>
      <c r="AZ184" s="294">
        <v>143698.43</v>
      </c>
      <c r="BA184" s="294">
        <v>255035.09</v>
      </c>
      <c r="BB184" s="294">
        <v>0</v>
      </c>
      <c r="BC184" s="294">
        <v>0</v>
      </c>
      <c r="BD184" s="294">
        <v>0</v>
      </c>
      <c r="BE184" s="294">
        <v>8040834.4099999992</v>
      </c>
      <c r="BF184" s="294">
        <v>1241397.0499999991</v>
      </c>
      <c r="BG184" s="294">
        <v>547892.29</v>
      </c>
      <c r="BH184" s="294">
        <v>1789289.3399999992</v>
      </c>
      <c r="BI184" s="294">
        <v>-31968</v>
      </c>
      <c r="BJ184" s="294">
        <v>0</v>
      </c>
      <c r="BK184" s="294">
        <v>0</v>
      </c>
      <c r="BL184" s="294">
        <v>-31968</v>
      </c>
      <c r="BM184" s="294">
        <v>0</v>
      </c>
      <c r="BN184" s="294">
        <v>0</v>
      </c>
      <c r="BO184" s="294">
        <v>0</v>
      </c>
      <c r="BP184" s="294">
        <v>0</v>
      </c>
      <c r="BQ184" s="294">
        <v>0</v>
      </c>
      <c r="BR184" s="294">
        <v>49333.66</v>
      </c>
      <c r="BS184" s="294">
        <v>-31968</v>
      </c>
      <c r="BT184" s="294">
        <v>17365.660000000003</v>
      </c>
      <c r="BU184" s="294">
        <v>0</v>
      </c>
      <c r="BV184" s="294">
        <v>0</v>
      </c>
      <c r="BW184" s="294">
        <v>0</v>
      </c>
      <c r="BX184" s="294">
        <v>0</v>
      </c>
      <c r="BY184" s="294">
        <v>0</v>
      </c>
      <c r="BZ184" s="294">
        <v>0</v>
      </c>
      <c r="CA184" s="294">
        <v>0</v>
      </c>
      <c r="CB184" s="294">
        <v>0</v>
      </c>
      <c r="CC184" s="294">
        <v>0</v>
      </c>
      <c r="CD184" s="294">
        <v>1789289.3399999992</v>
      </c>
      <c r="CE184" s="294">
        <v>0</v>
      </c>
      <c r="CF184" s="294">
        <v>17365.660000000003</v>
      </c>
      <c r="CG184" s="294">
        <v>0</v>
      </c>
      <c r="CH184" s="294">
        <v>0</v>
      </c>
      <c r="CI184" s="294">
        <f t="shared" si="2"/>
        <v>1806654.9999999991</v>
      </c>
      <c r="CJ184" s="294">
        <v>150000</v>
      </c>
      <c r="CK184" s="294">
        <v>58347.5</v>
      </c>
      <c r="CL184" s="294">
        <v>24435.79</v>
      </c>
      <c r="CM184" s="294">
        <v>116088.29000000001</v>
      </c>
      <c r="CN184" s="294">
        <v>173.57</v>
      </c>
      <c r="CO184" s="294">
        <v>0</v>
      </c>
      <c r="CP184" s="294">
        <v>58882.38</v>
      </c>
      <c r="CQ184" s="294">
        <v>0</v>
      </c>
      <c r="CR184" s="294">
        <v>0</v>
      </c>
      <c r="CS184" s="294">
        <v>175144.24000000002</v>
      </c>
      <c r="CT184" s="294">
        <v>1530361</v>
      </c>
      <c r="CU184" s="294">
        <v>0</v>
      </c>
      <c r="CV184" s="294">
        <v>0</v>
      </c>
      <c r="CW184" s="294">
        <v>1530361</v>
      </c>
      <c r="CX184" s="294"/>
      <c r="CY184" s="294"/>
      <c r="CZ184" s="294"/>
      <c r="DA184" s="294">
        <v>0</v>
      </c>
      <c r="DB184" s="294">
        <v>1530361</v>
      </c>
      <c r="DC184" s="294">
        <v>0</v>
      </c>
      <c r="DD184" s="294">
        <v>0</v>
      </c>
      <c r="DE184" s="294">
        <v>0</v>
      </c>
      <c r="DF184" s="294">
        <v>0</v>
      </c>
      <c r="DG184" s="294">
        <v>-17565.84</v>
      </c>
      <c r="DH184" s="294">
        <v>-334</v>
      </c>
      <c r="DI184" s="294">
        <v>0</v>
      </c>
      <c r="DJ184" s="294">
        <v>0</v>
      </c>
      <c r="DK184" s="294">
        <v>-17899.84</v>
      </c>
      <c r="DL184" s="294">
        <v>18845</v>
      </c>
      <c r="DM184" s="294">
        <v>156957.53</v>
      </c>
      <c r="DN184" s="294">
        <v>-57319.23</v>
      </c>
      <c r="DO184" s="294">
        <v>0</v>
      </c>
      <c r="DP184" s="294">
        <v>566.22</v>
      </c>
      <c r="DQ184" s="324">
        <v>8.0000000074505806E-2</v>
      </c>
      <c r="DR184" s="295">
        <v>5293737.6500000004</v>
      </c>
      <c r="DS184" s="325">
        <v>2747096.7599999988</v>
      </c>
      <c r="DT184" s="295">
        <v>1509428.57</v>
      </c>
      <c r="DU184" s="295">
        <v>268649.62</v>
      </c>
      <c r="DV184" s="295">
        <v>7762.59</v>
      </c>
      <c r="DW184" s="295">
        <v>119049.51999999999</v>
      </c>
    </row>
    <row r="185" spans="1:127">
      <c r="A185" s="321">
        <v>7009</v>
      </c>
      <c r="B185" s="322" t="s">
        <v>380</v>
      </c>
      <c r="C185" s="321">
        <v>7009</v>
      </c>
      <c r="D185" s="323" t="s">
        <v>817</v>
      </c>
      <c r="E185" s="323" t="s">
        <v>541</v>
      </c>
      <c r="F185" s="323" t="s">
        <v>818</v>
      </c>
      <c r="G185" s="323" t="s">
        <v>537</v>
      </c>
      <c r="H185" s="294">
        <v>2053732.25</v>
      </c>
      <c r="I185" s="294">
        <v>408754</v>
      </c>
      <c r="J185" s="294">
        <v>4452371.24</v>
      </c>
      <c r="K185" s="294">
        <v>0</v>
      </c>
      <c r="L185" s="294">
        <v>172180</v>
      </c>
      <c r="M185" s="294">
        <v>3085.64</v>
      </c>
      <c r="N185" s="294">
        <v>970518.26</v>
      </c>
      <c r="O185" s="294">
        <v>30259.5</v>
      </c>
      <c r="P185" s="294">
        <v>139775.04000000001</v>
      </c>
      <c r="Q185" s="294">
        <v>18353.72</v>
      </c>
      <c r="R185" s="294">
        <v>0</v>
      </c>
      <c r="S185" s="294">
        <v>53636</v>
      </c>
      <c r="T185" s="294">
        <v>4711.09</v>
      </c>
      <c r="U185" s="294">
        <v>70957.3</v>
      </c>
      <c r="V185" s="294">
        <v>0</v>
      </c>
      <c r="W185" s="294">
        <v>5888</v>
      </c>
      <c r="X185" s="294">
        <v>21334</v>
      </c>
      <c r="Y185" s="294">
        <v>8405556.0399999991</v>
      </c>
      <c r="Z185" s="294">
        <v>2399398.7199999997</v>
      </c>
      <c r="AA185" s="294">
        <v>0</v>
      </c>
      <c r="AB185" s="294">
        <v>2930058.89</v>
      </c>
      <c r="AC185" s="294">
        <v>290188.12000000005</v>
      </c>
      <c r="AD185" s="294">
        <v>485026.13</v>
      </c>
      <c r="AE185" s="294">
        <v>0</v>
      </c>
      <c r="AF185" s="294">
        <v>146377.25</v>
      </c>
      <c r="AG185" s="294">
        <v>5988.79</v>
      </c>
      <c r="AH185" s="294">
        <v>17168.019999999997</v>
      </c>
      <c r="AI185" s="294">
        <v>0</v>
      </c>
      <c r="AJ185" s="294">
        <v>0</v>
      </c>
      <c r="AK185" s="294">
        <v>64596.840000000004</v>
      </c>
      <c r="AL185" s="294">
        <v>7497.98</v>
      </c>
      <c r="AM185" s="294">
        <v>15538.48</v>
      </c>
      <c r="AN185" s="294">
        <v>26886.829999999998</v>
      </c>
      <c r="AO185" s="294">
        <v>201149.7</v>
      </c>
      <c r="AP185" s="294">
        <v>0</v>
      </c>
      <c r="AQ185" s="294">
        <v>73744.259999999995</v>
      </c>
      <c r="AR185" s="294">
        <v>123584.21399999999</v>
      </c>
      <c r="AS185" s="294">
        <v>59698.37</v>
      </c>
      <c r="AT185" s="294">
        <v>861.77</v>
      </c>
      <c r="AU185" s="294">
        <v>42241.62</v>
      </c>
      <c r="AV185" s="294">
        <v>5850</v>
      </c>
      <c r="AW185" s="294">
        <v>0</v>
      </c>
      <c r="AX185" s="294">
        <v>176520.05000000002</v>
      </c>
      <c r="AY185" s="294">
        <v>126728.79000000001</v>
      </c>
      <c r="AZ185" s="294">
        <v>326515.31</v>
      </c>
      <c r="BA185" s="294">
        <v>98800.24</v>
      </c>
      <c r="BB185" s="294">
        <v>0</v>
      </c>
      <c r="BC185" s="294">
        <v>0</v>
      </c>
      <c r="BD185" s="294">
        <v>191874.82</v>
      </c>
      <c r="BE185" s="294">
        <v>7816295.1939999992</v>
      </c>
      <c r="BF185" s="294">
        <v>1525336.6100000003</v>
      </c>
      <c r="BG185" s="294">
        <v>589260.8459999999</v>
      </c>
      <c r="BH185" s="294">
        <v>2114597.4560000002</v>
      </c>
      <c r="BI185" s="294">
        <v>77068.75</v>
      </c>
      <c r="BJ185" s="294">
        <v>0</v>
      </c>
      <c r="BK185" s="294">
        <v>191874.82</v>
      </c>
      <c r="BL185" s="294">
        <v>268943.57</v>
      </c>
      <c r="BM185" s="294">
        <v>0</v>
      </c>
      <c r="BN185" s="294">
        <v>221952.63</v>
      </c>
      <c r="BO185" s="294">
        <v>51121.03</v>
      </c>
      <c r="BP185" s="294">
        <v>31273.159999999996</v>
      </c>
      <c r="BQ185" s="294">
        <v>304346.82</v>
      </c>
      <c r="BR185" s="294">
        <v>45567.26</v>
      </c>
      <c r="BS185" s="294">
        <v>-35403.25</v>
      </c>
      <c r="BT185" s="294">
        <v>10164.010000000002</v>
      </c>
      <c r="BU185" s="294">
        <v>0</v>
      </c>
      <c r="BV185" s="294">
        <v>0</v>
      </c>
      <c r="BW185" s="294">
        <v>0</v>
      </c>
      <c r="BX185" s="294">
        <v>0</v>
      </c>
      <c r="BY185" s="294">
        <v>0</v>
      </c>
      <c r="BZ185" s="294">
        <v>0</v>
      </c>
      <c r="CA185" s="294">
        <v>0</v>
      </c>
      <c r="CB185" s="294">
        <v>0</v>
      </c>
      <c r="CC185" s="294">
        <v>0</v>
      </c>
      <c r="CD185" s="294">
        <v>2114597.4560000002</v>
      </c>
      <c r="CE185" s="294">
        <v>0</v>
      </c>
      <c r="CF185" s="294">
        <v>10164.010000000002</v>
      </c>
      <c r="CG185" s="294">
        <v>0</v>
      </c>
      <c r="CH185" s="294">
        <v>0</v>
      </c>
      <c r="CI185" s="294">
        <f t="shared" si="2"/>
        <v>2124761.466</v>
      </c>
      <c r="CJ185" s="294">
        <v>50000</v>
      </c>
      <c r="CK185" s="294">
        <v>1381.62</v>
      </c>
      <c r="CL185" s="294">
        <v>0</v>
      </c>
      <c r="CM185" s="294">
        <v>48618.38</v>
      </c>
      <c r="CN185" s="294">
        <v>0</v>
      </c>
      <c r="CO185" s="294">
        <v>0</v>
      </c>
      <c r="CP185" s="294">
        <v>30254.06</v>
      </c>
      <c r="CQ185" s="294">
        <v>81.45</v>
      </c>
      <c r="CR185" s="294">
        <v>-365206.61</v>
      </c>
      <c r="CS185" s="294">
        <v>-286252.71999999997</v>
      </c>
      <c r="CT185" s="294">
        <v>2301854.85</v>
      </c>
      <c r="CU185" s="294">
        <v>0</v>
      </c>
      <c r="CV185" s="294">
        <v>0</v>
      </c>
      <c r="CW185" s="294">
        <v>2301854.85</v>
      </c>
      <c r="CX185" s="294"/>
      <c r="CY185" s="294"/>
      <c r="CZ185" s="294"/>
      <c r="DA185" s="294">
        <v>0</v>
      </c>
      <c r="DB185" s="294">
        <v>2301854.85</v>
      </c>
      <c r="DC185" s="294">
        <v>195116.19</v>
      </c>
      <c r="DD185" s="294">
        <v>64977.95</v>
      </c>
      <c r="DE185" s="294">
        <v>25483.93</v>
      </c>
      <c r="DF185" s="294">
        <v>0</v>
      </c>
      <c r="DG185" s="294">
        <v>-128789.8</v>
      </c>
      <c r="DH185" s="294">
        <v>-47628.87</v>
      </c>
      <c r="DI185" s="294">
        <v>0</v>
      </c>
      <c r="DJ185" s="294">
        <v>0</v>
      </c>
      <c r="DK185" s="294">
        <v>109159.40000000002</v>
      </c>
      <c r="DL185" s="294">
        <v>0</v>
      </c>
      <c r="DM185" s="294">
        <v>0</v>
      </c>
      <c r="DN185" s="294">
        <v>0</v>
      </c>
      <c r="DO185" s="294">
        <v>0</v>
      </c>
      <c r="DP185" s="294">
        <v>0</v>
      </c>
      <c r="DQ185" s="324">
        <v>-6.0000000521540642E-2</v>
      </c>
      <c r="DR185" s="295">
        <v>6257037.8999999994</v>
      </c>
      <c r="DS185" s="325">
        <v>1559257.2939999998</v>
      </c>
      <c r="DT185" s="295">
        <v>126728.79000000001</v>
      </c>
      <c r="DU185" s="295">
        <v>193099.35</v>
      </c>
      <c r="DV185" s="295">
        <v>124593.3</v>
      </c>
      <c r="DW185" s="295">
        <v>0</v>
      </c>
    </row>
    <row r="186" spans="1:127">
      <c r="A186" s="321">
        <v>5203</v>
      </c>
      <c r="B186" s="322" t="s">
        <v>381</v>
      </c>
      <c r="C186" s="321">
        <v>5203</v>
      </c>
      <c r="D186" s="323" t="s">
        <v>817</v>
      </c>
      <c r="E186" s="323" t="s">
        <v>539</v>
      </c>
      <c r="F186" s="323" t="s">
        <v>818</v>
      </c>
      <c r="G186" s="323" t="s">
        <v>537</v>
      </c>
      <c r="H186" s="294">
        <v>1650489.36</v>
      </c>
      <c r="I186" s="294">
        <v>0</v>
      </c>
      <c r="J186" s="294">
        <v>70136.649999999994</v>
      </c>
      <c r="K186" s="294">
        <v>0</v>
      </c>
      <c r="L186" s="294">
        <v>36220</v>
      </c>
      <c r="M186" s="294">
        <v>7400</v>
      </c>
      <c r="N186" s="294">
        <v>0</v>
      </c>
      <c r="O186" s="294">
        <v>958.33</v>
      </c>
      <c r="P186" s="294">
        <v>27.02</v>
      </c>
      <c r="Q186" s="294">
        <v>17394.599999999999</v>
      </c>
      <c r="R186" s="294">
        <v>0</v>
      </c>
      <c r="S186" s="294">
        <v>0</v>
      </c>
      <c r="T186" s="294">
        <v>125102.39999999999</v>
      </c>
      <c r="U186" s="294">
        <v>21726.66</v>
      </c>
      <c r="V186" s="294">
        <v>0</v>
      </c>
      <c r="W186" s="294">
        <v>85.63</v>
      </c>
      <c r="X186" s="294">
        <v>126338</v>
      </c>
      <c r="Y186" s="294">
        <v>2055878.65</v>
      </c>
      <c r="Z186" s="294">
        <v>943906.49</v>
      </c>
      <c r="AA186" s="294">
        <v>0</v>
      </c>
      <c r="AB186" s="294">
        <v>340790.08</v>
      </c>
      <c r="AC186" s="294">
        <v>21911.97</v>
      </c>
      <c r="AD186" s="294">
        <v>101058.58</v>
      </c>
      <c r="AE186" s="294">
        <v>92416.57</v>
      </c>
      <c r="AF186" s="294">
        <v>153286.82</v>
      </c>
      <c r="AG186" s="294">
        <v>484</v>
      </c>
      <c r="AH186" s="294">
        <v>5544.33</v>
      </c>
      <c r="AI186" s="294">
        <v>0</v>
      </c>
      <c r="AJ186" s="294">
        <v>0</v>
      </c>
      <c r="AK186" s="294">
        <v>16514.23</v>
      </c>
      <c r="AL186" s="294">
        <v>5350.2</v>
      </c>
      <c r="AM186" s="294">
        <v>43368.12</v>
      </c>
      <c r="AN186" s="294">
        <v>5662.47</v>
      </c>
      <c r="AO186" s="294">
        <v>37345.019999999997</v>
      </c>
      <c r="AP186" s="294">
        <v>6271.17</v>
      </c>
      <c r="AQ186" s="294">
        <v>18229.82</v>
      </c>
      <c r="AR186" s="294">
        <v>46431.35</v>
      </c>
      <c r="AS186" s="294">
        <v>23211.98</v>
      </c>
      <c r="AT186" s="294">
        <v>0</v>
      </c>
      <c r="AU186" s="294">
        <v>21790.78</v>
      </c>
      <c r="AV186" s="294">
        <v>5589.75</v>
      </c>
      <c r="AW186" s="294">
        <v>0</v>
      </c>
      <c r="AX186" s="294">
        <v>57177.24</v>
      </c>
      <c r="AY186" s="294">
        <v>3930</v>
      </c>
      <c r="AZ186" s="294">
        <v>34132.1</v>
      </c>
      <c r="BA186" s="294">
        <v>62134.11</v>
      </c>
      <c r="BB186" s="294">
        <v>0</v>
      </c>
      <c r="BC186" s="294">
        <v>0</v>
      </c>
      <c r="BD186" s="294">
        <v>0</v>
      </c>
      <c r="BE186" s="294">
        <v>2046537.1800000006</v>
      </c>
      <c r="BF186" s="294">
        <v>73314.450000000157</v>
      </c>
      <c r="BG186" s="294">
        <v>9341.4699999992736</v>
      </c>
      <c r="BH186" s="294">
        <v>82655.919999999431</v>
      </c>
      <c r="BI186" s="294">
        <v>7685.5</v>
      </c>
      <c r="BJ186" s="294">
        <v>0</v>
      </c>
      <c r="BK186" s="294">
        <v>0</v>
      </c>
      <c r="BL186" s="294">
        <v>7685.5</v>
      </c>
      <c r="BM186" s="294">
        <v>7685.5</v>
      </c>
      <c r="BN186" s="294">
        <v>0</v>
      </c>
      <c r="BO186" s="294">
        <v>0</v>
      </c>
      <c r="BP186" s="294">
        <v>0</v>
      </c>
      <c r="BQ186" s="294">
        <v>7685.5</v>
      </c>
      <c r="BR186" s="294">
        <v>0</v>
      </c>
      <c r="BS186" s="294">
        <v>0</v>
      </c>
      <c r="BT186" s="294">
        <v>0</v>
      </c>
      <c r="BU186" s="294">
        <v>0</v>
      </c>
      <c r="BV186" s="294">
        <v>0</v>
      </c>
      <c r="BW186" s="294">
        <v>0</v>
      </c>
      <c r="BX186" s="294">
        <v>0</v>
      </c>
      <c r="BY186" s="294">
        <v>0</v>
      </c>
      <c r="BZ186" s="294">
        <v>0</v>
      </c>
      <c r="CA186" s="294">
        <v>0</v>
      </c>
      <c r="CB186" s="294">
        <v>0</v>
      </c>
      <c r="CC186" s="294">
        <v>0</v>
      </c>
      <c r="CD186" s="294">
        <v>82655.919999999431</v>
      </c>
      <c r="CE186" s="294">
        <v>0</v>
      </c>
      <c r="CF186" s="294">
        <v>0</v>
      </c>
      <c r="CG186" s="294">
        <v>0</v>
      </c>
      <c r="CH186" s="294">
        <v>0</v>
      </c>
      <c r="CI186" s="294">
        <f t="shared" si="2"/>
        <v>82655.919999999431</v>
      </c>
      <c r="CJ186" s="294">
        <v>75194.7</v>
      </c>
      <c r="CK186" s="294">
        <v>0</v>
      </c>
      <c r="CL186" s="294">
        <v>0</v>
      </c>
      <c r="CM186" s="294">
        <v>75194.7</v>
      </c>
      <c r="CN186" s="294">
        <v>0</v>
      </c>
      <c r="CO186" s="294">
        <v>0</v>
      </c>
      <c r="CP186" s="294">
        <v>4206.68</v>
      </c>
      <c r="CQ186" s="294">
        <v>0</v>
      </c>
      <c r="CR186" s="294">
        <v>0</v>
      </c>
      <c r="CS186" s="294">
        <v>79401.38</v>
      </c>
      <c r="CT186" s="294">
        <v>250</v>
      </c>
      <c r="CU186" s="294">
        <v>0</v>
      </c>
      <c r="CV186" s="294">
        <v>0</v>
      </c>
      <c r="CW186" s="294">
        <v>250</v>
      </c>
      <c r="CX186" s="294"/>
      <c r="CY186" s="294"/>
      <c r="CZ186" s="294"/>
      <c r="DA186" s="294">
        <v>0</v>
      </c>
      <c r="DB186" s="294">
        <v>250</v>
      </c>
      <c r="DC186" s="294">
        <v>0</v>
      </c>
      <c r="DD186" s="294">
        <v>21633.56</v>
      </c>
      <c r="DE186" s="294">
        <v>0</v>
      </c>
      <c r="DF186" s="294">
        <v>0</v>
      </c>
      <c r="DG186" s="294">
        <v>-4613.08</v>
      </c>
      <c r="DH186" s="294">
        <v>0</v>
      </c>
      <c r="DI186" s="294">
        <v>0</v>
      </c>
      <c r="DJ186" s="294">
        <v>-4556</v>
      </c>
      <c r="DK186" s="294">
        <v>12464.480000000003</v>
      </c>
      <c r="DL186" s="294">
        <v>0</v>
      </c>
      <c r="DM186" s="294">
        <v>0</v>
      </c>
      <c r="DN186" s="294">
        <v>-9459.94</v>
      </c>
      <c r="DO186" s="294">
        <v>0</v>
      </c>
      <c r="DP186" s="294">
        <v>0</v>
      </c>
      <c r="DQ186" s="324"/>
      <c r="DR186" s="295">
        <v>1653854.5100000002</v>
      </c>
      <c r="DS186" s="325">
        <v>392682.67000000039</v>
      </c>
      <c r="DT186" s="295">
        <v>3930</v>
      </c>
      <c r="DU186" s="295">
        <v>143482.34999999998</v>
      </c>
      <c r="DV186" s="295">
        <v>21726.66</v>
      </c>
      <c r="DW186" s="295">
        <v>-9459.94</v>
      </c>
    </row>
    <row r="187" spans="1:127">
      <c r="A187" s="321">
        <v>5202</v>
      </c>
      <c r="B187" s="322" t="s">
        <v>382</v>
      </c>
      <c r="C187" s="321">
        <v>5202</v>
      </c>
      <c r="D187" s="323" t="s">
        <v>817</v>
      </c>
      <c r="E187" s="323" t="s">
        <v>539</v>
      </c>
      <c r="F187" s="323" t="s">
        <v>818</v>
      </c>
      <c r="G187" s="323" t="s">
        <v>537</v>
      </c>
      <c r="H187" s="294">
        <v>1757664.47</v>
      </c>
      <c r="I187" s="294">
        <v>0</v>
      </c>
      <c r="J187" s="294">
        <v>127484.95</v>
      </c>
      <c r="K187" s="294">
        <v>0</v>
      </c>
      <c r="L187" s="294">
        <v>74700</v>
      </c>
      <c r="M187" s="294">
        <v>2228.2199999999998</v>
      </c>
      <c r="N187" s="294">
        <v>0</v>
      </c>
      <c r="O187" s="294">
        <v>67165.91</v>
      </c>
      <c r="P187" s="294">
        <v>34.18</v>
      </c>
      <c r="Q187" s="294">
        <v>97816.43</v>
      </c>
      <c r="R187" s="294">
        <v>0</v>
      </c>
      <c r="S187" s="294">
        <v>0</v>
      </c>
      <c r="T187" s="294">
        <v>99894.26</v>
      </c>
      <c r="U187" s="294">
        <v>44568.3</v>
      </c>
      <c r="V187" s="294">
        <v>0</v>
      </c>
      <c r="W187" s="294">
        <v>4.38</v>
      </c>
      <c r="X187" s="294">
        <v>19589</v>
      </c>
      <c r="Y187" s="294">
        <v>2291150.0999999992</v>
      </c>
      <c r="Z187" s="294">
        <v>1145677.81</v>
      </c>
      <c r="AA187" s="294">
        <v>0</v>
      </c>
      <c r="AB187" s="294">
        <v>244431.67</v>
      </c>
      <c r="AC187" s="294">
        <v>44433.74</v>
      </c>
      <c r="AD187" s="294">
        <v>131318.57</v>
      </c>
      <c r="AE187" s="294">
        <v>85968.81</v>
      </c>
      <c r="AF187" s="294">
        <v>90532.09</v>
      </c>
      <c r="AG187" s="294">
        <v>3548.33</v>
      </c>
      <c r="AH187" s="294">
        <v>7948.94</v>
      </c>
      <c r="AI187" s="294">
        <v>0</v>
      </c>
      <c r="AJ187" s="294">
        <v>0</v>
      </c>
      <c r="AK187" s="294">
        <v>25064.7</v>
      </c>
      <c r="AL187" s="294">
        <v>8766.16</v>
      </c>
      <c r="AM187" s="294">
        <v>43080.89</v>
      </c>
      <c r="AN187" s="294">
        <v>7307.58</v>
      </c>
      <c r="AO187" s="294">
        <v>34163.08</v>
      </c>
      <c r="AP187" s="294">
        <v>4213.47</v>
      </c>
      <c r="AQ187" s="294">
        <v>63340.130000000005</v>
      </c>
      <c r="AR187" s="294">
        <v>93332.160000000003</v>
      </c>
      <c r="AS187" s="294">
        <v>4441.66</v>
      </c>
      <c r="AT187" s="294">
        <v>0</v>
      </c>
      <c r="AU187" s="294">
        <v>44211.240000000005</v>
      </c>
      <c r="AV187" s="294">
        <v>10947.51</v>
      </c>
      <c r="AW187" s="294">
        <v>2070</v>
      </c>
      <c r="AX187" s="294">
        <v>44227.98</v>
      </c>
      <c r="AY187" s="294">
        <v>71916.47</v>
      </c>
      <c r="AZ187" s="294">
        <v>9025.2000000000007</v>
      </c>
      <c r="BA187" s="294">
        <v>36882.550000000003</v>
      </c>
      <c r="BB187" s="294">
        <v>0</v>
      </c>
      <c r="BC187" s="294">
        <v>0</v>
      </c>
      <c r="BD187" s="294">
        <v>0</v>
      </c>
      <c r="BE187" s="294">
        <v>2256850.7400000002</v>
      </c>
      <c r="BF187" s="294">
        <v>197488.27000000008</v>
      </c>
      <c r="BG187" s="294">
        <v>34299.359999998938</v>
      </c>
      <c r="BH187" s="294">
        <v>231787.62999999902</v>
      </c>
      <c r="BI187" s="294">
        <v>8050</v>
      </c>
      <c r="BJ187" s="294">
        <v>0</v>
      </c>
      <c r="BK187" s="294">
        <v>0</v>
      </c>
      <c r="BL187" s="294">
        <v>8050</v>
      </c>
      <c r="BM187" s="294">
        <v>0</v>
      </c>
      <c r="BN187" s="294">
        <v>0</v>
      </c>
      <c r="BO187" s="294">
        <v>0</v>
      </c>
      <c r="BP187" s="294">
        <v>0</v>
      </c>
      <c r="BQ187" s="294">
        <v>0</v>
      </c>
      <c r="BR187" s="294">
        <v>19419</v>
      </c>
      <c r="BS187" s="294">
        <v>8050</v>
      </c>
      <c r="BT187" s="294">
        <v>27469</v>
      </c>
      <c r="BU187" s="294">
        <v>0</v>
      </c>
      <c r="BV187" s="294">
        <v>0</v>
      </c>
      <c r="BW187" s="294">
        <v>0</v>
      </c>
      <c r="BX187" s="294">
        <v>0</v>
      </c>
      <c r="BY187" s="294">
        <v>0</v>
      </c>
      <c r="BZ187" s="294">
        <v>0</v>
      </c>
      <c r="CA187" s="294">
        <v>0</v>
      </c>
      <c r="CB187" s="294">
        <v>0</v>
      </c>
      <c r="CC187" s="294">
        <v>0</v>
      </c>
      <c r="CD187" s="294">
        <v>231787.62999999902</v>
      </c>
      <c r="CE187" s="294">
        <v>0</v>
      </c>
      <c r="CF187" s="294">
        <v>27469</v>
      </c>
      <c r="CG187" s="294">
        <v>0</v>
      </c>
      <c r="CH187" s="294">
        <v>0</v>
      </c>
      <c r="CI187" s="294">
        <f t="shared" si="2"/>
        <v>259256.62999999902</v>
      </c>
      <c r="CJ187" s="294">
        <v>351166.47</v>
      </c>
      <c r="CK187" s="294">
        <v>62774.23</v>
      </c>
      <c r="CL187" s="294">
        <v>0</v>
      </c>
      <c r="CM187" s="294">
        <v>288392.24</v>
      </c>
      <c r="CN187" s="294">
        <v>230.08</v>
      </c>
      <c r="CO187" s="294">
        <v>0</v>
      </c>
      <c r="CP187" s="294">
        <v>6961.12</v>
      </c>
      <c r="CQ187" s="294">
        <v>0</v>
      </c>
      <c r="CR187" s="294">
        <v>0</v>
      </c>
      <c r="CS187" s="294">
        <v>295583.44</v>
      </c>
      <c r="CT187" s="294">
        <v>612.03</v>
      </c>
      <c r="CU187" s="294">
        <v>0</v>
      </c>
      <c r="CV187" s="294">
        <v>0</v>
      </c>
      <c r="CW187" s="294">
        <v>612.03</v>
      </c>
      <c r="CX187" s="294"/>
      <c r="CY187" s="294"/>
      <c r="CZ187" s="294"/>
      <c r="DA187" s="294">
        <v>0</v>
      </c>
      <c r="DB187" s="294">
        <v>612.03</v>
      </c>
      <c r="DC187" s="294">
        <v>13165.5</v>
      </c>
      <c r="DD187" s="294">
        <v>0</v>
      </c>
      <c r="DE187" s="294">
        <v>0</v>
      </c>
      <c r="DF187" s="294">
        <v>0</v>
      </c>
      <c r="DG187" s="294">
        <v>-14713.58</v>
      </c>
      <c r="DH187" s="294">
        <v>-35390.770000000004</v>
      </c>
      <c r="DI187" s="294">
        <v>0</v>
      </c>
      <c r="DJ187" s="294">
        <v>0</v>
      </c>
      <c r="DK187" s="294">
        <v>-36938.850000000006</v>
      </c>
      <c r="DL187" s="294">
        <v>0</v>
      </c>
      <c r="DM187" s="294">
        <v>0</v>
      </c>
      <c r="DN187" s="294">
        <v>0</v>
      </c>
      <c r="DO187" s="294">
        <v>0</v>
      </c>
      <c r="DP187" s="294">
        <v>0</v>
      </c>
      <c r="DQ187" s="324">
        <v>1.0000000009313226E-2</v>
      </c>
      <c r="DR187" s="295">
        <v>1745911.0200000003</v>
      </c>
      <c r="DS187" s="325">
        <v>510939.72</v>
      </c>
      <c r="DT187" s="295">
        <v>71916.47</v>
      </c>
      <c r="DU187" s="295">
        <v>264910.77999999997</v>
      </c>
      <c r="DV187" s="295">
        <v>44568.3</v>
      </c>
      <c r="DW187" s="295">
        <v>0</v>
      </c>
    </row>
    <row r="188" spans="1:127">
      <c r="A188" s="321">
        <v>2108</v>
      </c>
      <c r="B188" s="322" t="s">
        <v>473</v>
      </c>
      <c r="C188" s="321">
        <v>2108</v>
      </c>
      <c r="D188" s="323" t="s">
        <v>817</v>
      </c>
      <c r="E188" s="323" t="s">
        <v>539</v>
      </c>
      <c r="F188" s="323" t="s">
        <v>818</v>
      </c>
      <c r="G188" s="323" t="s">
        <v>537</v>
      </c>
      <c r="H188" s="294">
        <v>5094626.16</v>
      </c>
      <c r="I188" s="294">
        <v>0</v>
      </c>
      <c r="J188" s="294">
        <v>360471.19</v>
      </c>
      <c r="K188" s="294">
        <v>0</v>
      </c>
      <c r="L188" s="294">
        <v>508560</v>
      </c>
      <c r="M188" s="294">
        <v>17395.71</v>
      </c>
      <c r="N188" s="294">
        <v>0</v>
      </c>
      <c r="O188" s="294">
        <v>0</v>
      </c>
      <c r="P188" s="294">
        <v>141074.28000000003</v>
      </c>
      <c r="Q188" s="294">
        <v>92143.19</v>
      </c>
      <c r="R188" s="294">
        <v>0</v>
      </c>
      <c r="S188" s="294">
        <v>0</v>
      </c>
      <c r="T188" s="294">
        <v>887.7</v>
      </c>
      <c r="U188" s="294">
        <v>0</v>
      </c>
      <c r="V188" s="294">
        <v>0</v>
      </c>
      <c r="W188" s="294">
        <v>28955.52</v>
      </c>
      <c r="X188" s="294">
        <v>143284</v>
      </c>
      <c r="Y188" s="294">
        <v>6387397.7500000009</v>
      </c>
      <c r="Z188" s="294">
        <v>2538374.0599999977</v>
      </c>
      <c r="AA188" s="294">
        <v>583.07999999999993</v>
      </c>
      <c r="AB188" s="294">
        <v>-12549.070000000012</v>
      </c>
      <c r="AC188" s="294">
        <v>997151.2600000028</v>
      </c>
      <c r="AD188" s="294">
        <v>537.68999999999983</v>
      </c>
      <c r="AE188" s="294">
        <v>0</v>
      </c>
      <c r="AF188" s="294">
        <v>1063535.7000000034</v>
      </c>
      <c r="AG188" s="294">
        <v>55773.439999999828</v>
      </c>
      <c r="AH188" s="294">
        <v>19969.12</v>
      </c>
      <c r="AI188" s="294">
        <v>0</v>
      </c>
      <c r="AJ188" s="294">
        <v>0</v>
      </c>
      <c r="AK188" s="294">
        <v>72684.369999999981</v>
      </c>
      <c r="AL188" s="294">
        <v>5602</v>
      </c>
      <c r="AM188" s="294">
        <v>4802.130000000001</v>
      </c>
      <c r="AN188" s="294">
        <v>3834.6</v>
      </c>
      <c r="AO188" s="294">
        <v>76924.37000000001</v>
      </c>
      <c r="AP188" s="294">
        <v>70489.570000000007</v>
      </c>
      <c r="AQ188" s="294">
        <v>71202.48</v>
      </c>
      <c r="AR188" s="294">
        <v>135499.95000000022</v>
      </c>
      <c r="AS188" s="294">
        <v>60</v>
      </c>
      <c r="AT188" s="294">
        <v>333.48</v>
      </c>
      <c r="AU188" s="294">
        <v>80953.98</v>
      </c>
      <c r="AV188" s="294">
        <v>24312.75</v>
      </c>
      <c r="AW188" s="294">
        <v>11150.6</v>
      </c>
      <c r="AX188" s="294">
        <v>498333.31999999995</v>
      </c>
      <c r="AY188" s="294">
        <v>297462.39000000013</v>
      </c>
      <c r="AZ188" s="294">
        <v>21209.22</v>
      </c>
      <c r="BA188" s="294">
        <v>357215.76999999979</v>
      </c>
      <c r="BB188" s="294">
        <v>0</v>
      </c>
      <c r="BC188" s="294">
        <v>0</v>
      </c>
      <c r="BD188" s="294">
        <v>0</v>
      </c>
      <c r="BE188" s="294">
        <v>6395446.2600000044</v>
      </c>
      <c r="BF188" s="294">
        <v>1099945.7299999995</v>
      </c>
      <c r="BG188" s="294">
        <v>-8048.5100000035018</v>
      </c>
      <c r="BH188" s="294">
        <v>1091897.219999996</v>
      </c>
      <c r="BI188" s="294">
        <v>13958.5</v>
      </c>
      <c r="BJ188" s="294">
        <v>0</v>
      </c>
      <c r="BK188" s="294">
        <v>0</v>
      </c>
      <c r="BL188" s="294">
        <v>13958.5</v>
      </c>
      <c r="BM188" s="294">
        <v>0</v>
      </c>
      <c r="BN188" s="294">
        <v>0</v>
      </c>
      <c r="BO188" s="294">
        <v>0</v>
      </c>
      <c r="BP188" s="294">
        <v>0</v>
      </c>
      <c r="BQ188" s="294">
        <v>0</v>
      </c>
      <c r="BR188" s="294">
        <v>132712</v>
      </c>
      <c r="BS188" s="294">
        <v>13958.5</v>
      </c>
      <c r="BT188" s="294">
        <v>146670.5</v>
      </c>
      <c r="BU188" s="294">
        <v>0</v>
      </c>
      <c r="BV188" s="294">
        <v>0</v>
      </c>
      <c r="BW188" s="294">
        <v>0</v>
      </c>
      <c r="BX188" s="294">
        <v>0</v>
      </c>
      <c r="BY188" s="294">
        <v>0</v>
      </c>
      <c r="BZ188" s="294">
        <v>0</v>
      </c>
      <c r="CA188" s="294">
        <v>0</v>
      </c>
      <c r="CB188" s="294">
        <v>0</v>
      </c>
      <c r="CC188" s="294">
        <v>0</v>
      </c>
      <c r="CD188" s="294">
        <v>1091897.219999996</v>
      </c>
      <c r="CE188" s="294">
        <v>0</v>
      </c>
      <c r="CF188" s="294">
        <v>146670.5</v>
      </c>
      <c r="CG188" s="294">
        <v>0</v>
      </c>
      <c r="CH188" s="294">
        <v>0</v>
      </c>
      <c r="CI188" s="294">
        <f t="shared" si="2"/>
        <v>1238567.719999996</v>
      </c>
      <c r="CJ188" s="294">
        <v>1791707.43</v>
      </c>
      <c r="CK188" s="294">
        <v>0</v>
      </c>
      <c r="CL188" s="294">
        <v>0</v>
      </c>
      <c r="CM188" s="294">
        <v>1791707.43</v>
      </c>
      <c r="CN188" s="294">
        <v>0</v>
      </c>
      <c r="CO188" s="294">
        <v>0</v>
      </c>
      <c r="CP188" s="294">
        <v>20181.95</v>
      </c>
      <c r="CQ188" s="294">
        <v>10791.71</v>
      </c>
      <c r="CR188" s="294">
        <v>-504992.22</v>
      </c>
      <c r="CS188" s="294">
        <v>1317688.8699999999</v>
      </c>
      <c r="CT188" s="294">
        <v>0</v>
      </c>
      <c r="CU188" s="294">
        <v>0</v>
      </c>
      <c r="CV188" s="294">
        <v>0</v>
      </c>
      <c r="CW188" s="294">
        <v>0</v>
      </c>
      <c r="CX188" s="294"/>
      <c r="CY188" s="294"/>
      <c r="CZ188" s="294"/>
      <c r="DA188" s="294">
        <v>0</v>
      </c>
      <c r="DB188" s="294">
        <v>0</v>
      </c>
      <c r="DC188" s="294">
        <v>0</v>
      </c>
      <c r="DD188" s="294">
        <v>31420.03</v>
      </c>
      <c r="DE188" s="294">
        <v>0</v>
      </c>
      <c r="DF188" s="294">
        <v>0</v>
      </c>
      <c r="DG188" s="294">
        <v>0</v>
      </c>
      <c r="DH188" s="294">
        <v>-110541.18</v>
      </c>
      <c r="DI188" s="294">
        <v>0</v>
      </c>
      <c r="DJ188" s="294">
        <v>0</v>
      </c>
      <c r="DK188" s="294">
        <v>-79121.149999999994</v>
      </c>
      <c r="DL188" s="294">
        <v>0</v>
      </c>
      <c r="DM188" s="294">
        <v>0</v>
      </c>
      <c r="DN188" s="294">
        <v>0</v>
      </c>
      <c r="DO188" s="294">
        <v>0</v>
      </c>
      <c r="DP188" s="294">
        <v>0</v>
      </c>
      <c r="DQ188" s="324">
        <v>0</v>
      </c>
      <c r="DR188" s="295">
        <v>4643406.1600000039</v>
      </c>
      <c r="DS188" s="325">
        <v>1752040.1000000006</v>
      </c>
      <c r="DT188" s="295">
        <v>297462.39000000013</v>
      </c>
      <c r="DU188" s="295">
        <v>234105.17000000004</v>
      </c>
      <c r="DV188" s="295">
        <v>0</v>
      </c>
      <c r="DW188" s="295">
        <v>0</v>
      </c>
    </row>
    <row r="189" spans="1:127">
      <c r="A189" s="321">
        <v>1019</v>
      </c>
      <c r="B189" s="322" t="s">
        <v>522</v>
      </c>
      <c r="C189" s="321">
        <v>1019</v>
      </c>
      <c r="D189" s="323" t="s">
        <v>817</v>
      </c>
      <c r="E189" s="323" t="s">
        <v>536</v>
      </c>
      <c r="F189" s="323" t="s">
        <v>818</v>
      </c>
      <c r="G189" s="323" t="s">
        <v>799</v>
      </c>
      <c r="H189" s="294">
        <v>863544.65</v>
      </c>
      <c r="I189" s="294">
        <v>0</v>
      </c>
      <c r="J189" s="294">
        <v>23140.19</v>
      </c>
      <c r="K189" s="294">
        <v>0</v>
      </c>
      <c r="L189" s="294">
        <v>0</v>
      </c>
      <c r="M189" s="294">
        <v>0</v>
      </c>
      <c r="N189" s="294">
        <v>0</v>
      </c>
      <c r="O189" s="294">
        <v>0</v>
      </c>
      <c r="P189" s="294">
        <v>131422.41</v>
      </c>
      <c r="Q189" s="294">
        <v>5789.15</v>
      </c>
      <c r="R189" s="294">
        <v>0</v>
      </c>
      <c r="S189" s="294">
        <v>0</v>
      </c>
      <c r="T189" s="294">
        <v>7146.3699999999953</v>
      </c>
      <c r="U189" s="294">
        <v>24000</v>
      </c>
      <c r="V189" s="294">
        <v>0</v>
      </c>
      <c r="W189" s="294">
        <v>0</v>
      </c>
      <c r="X189" s="294">
        <v>0</v>
      </c>
      <c r="Y189" s="294">
        <v>1055042.77</v>
      </c>
      <c r="Z189" s="294">
        <v>219576.99999999991</v>
      </c>
      <c r="AA189" s="294">
        <v>0</v>
      </c>
      <c r="AB189" s="294">
        <v>280299.87</v>
      </c>
      <c r="AC189" s="294">
        <v>1882.5500000000466</v>
      </c>
      <c r="AD189" s="294">
        <v>42575.42</v>
      </c>
      <c r="AE189" s="294">
        <v>22520</v>
      </c>
      <c r="AF189" s="294">
        <v>18158.750000000087</v>
      </c>
      <c r="AG189" s="294">
        <v>3259.8499999999876</v>
      </c>
      <c r="AH189" s="294">
        <v>4343.05</v>
      </c>
      <c r="AI189" s="294">
        <v>0</v>
      </c>
      <c r="AJ189" s="294">
        <v>0</v>
      </c>
      <c r="AK189" s="294">
        <v>19510.21</v>
      </c>
      <c r="AL189" s="294">
        <v>0</v>
      </c>
      <c r="AM189" s="294">
        <v>24492.2</v>
      </c>
      <c r="AN189" s="294">
        <v>974.04</v>
      </c>
      <c r="AO189" s="294">
        <v>13936.189999999964</v>
      </c>
      <c r="AP189" s="294">
        <v>5764</v>
      </c>
      <c r="AQ189" s="294">
        <v>8333.75</v>
      </c>
      <c r="AR189" s="294">
        <v>5110.2199999999866</v>
      </c>
      <c r="AS189" s="294">
        <v>1176</v>
      </c>
      <c r="AT189" s="294">
        <v>0</v>
      </c>
      <c r="AU189" s="294">
        <v>13484.550000000001</v>
      </c>
      <c r="AV189" s="294">
        <v>3291.75</v>
      </c>
      <c r="AW189" s="294">
        <v>0</v>
      </c>
      <c r="AX189" s="294">
        <v>6414.28</v>
      </c>
      <c r="AY189" s="294">
        <v>37321.589999999997</v>
      </c>
      <c r="AZ189" s="294">
        <v>0</v>
      </c>
      <c r="BA189" s="294">
        <v>86232.05</v>
      </c>
      <c r="BB189" s="294">
        <v>0</v>
      </c>
      <c r="BC189" s="294">
        <v>0</v>
      </c>
      <c r="BD189" s="294">
        <v>0</v>
      </c>
      <c r="BE189" s="294">
        <v>818657.32000000007</v>
      </c>
      <c r="BF189" s="294">
        <v>-477525.38999999984</v>
      </c>
      <c r="BG189" s="294">
        <v>236385.44999999995</v>
      </c>
      <c r="BH189" s="294">
        <v>-241139.93999999989</v>
      </c>
      <c r="BI189" s="294">
        <v>5147.5</v>
      </c>
      <c r="BJ189" s="294">
        <v>0</v>
      </c>
      <c r="BK189" s="294">
        <v>0</v>
      </c>
      <c r="BL189" s="294">
        <v>5147.5</v>
      </c>
      <c r="BM189" s="294">
        <v>0</v>
      </c>
      <c r="BN189" s="294">
        <v>0</v>
      </c>
      <c r="BO189" s="294">
        <v>0</v>
      </c>
      <c r="BP189" s="294">
        <v>0</v>
      </c>
      <c r="BQ189" s="294">
        <v>0</v>
      </c>
      <c r="BR189" s="294">
        <v>42680.45</v>
      </c>
      <c r="BS189" s="294">
        <v>5147.5</v>
      </c>
      <c r="BT189" s="294">
        <v>47827.95</v>
      </c>
      <c r="BU189" s="294">
        <v>0</v>
      </c>
      <c r="BV189" s="294">
        <v>0</v>
      </c>
      <c r="BW189" s="294">
        <v>0</v>
      </c>
      <c r="BX189" s="294">
        <v>0</v>
      </c>
      <c r="BY189" s="294">
        <v>0</v>
      </c>
      <c r="BZ189" s="294">
        <v>0</v>
      </c>
      <c r="CA189" s="294">
        <v>0</v>
      </c>
      <c r="CB189" s="294">
        <v>0</v>
      </c>
      <c r="CC189" s="294">
        <v>0</v>
      </c>
      <c r="CD189" s="294">
        <v>-241139.94</v>
      </c>
      <c r="CE189" s="294">
        <v>0</v>
      </c>
      <c r="CF189" s="294">
        <v>47827.95</v>
      </c>
      <c r="CG189" s="294">
        <v>0</v>
      </c>
      <c r="CH189" s="294">
        <v>0</v>
      </c>
      <c r="CI189" s="294">
        <f t="shared" si="2"/>
        <v>-193311.99</v>
      </c>
      <c r="CJ189" s="294">
        <v>0</v>
      </c>
      <c r="CK189" s="294">
        <v>0</v>
      </c>
      <c r="CL189" s="294">
        <v>0</v>
      </c>
      <c r="CM189" s="294">
        <v>0</v>
      </c>
      <c r="CN189" s="294">
        <v>0</v>
      </c>
      <c r="CO189" s="294">
        <v>0</v>
      </c>
      <c r="CP189" s="294">
        <v>0</v>
      </c>
      <c r="CQ189" s="294">
        <v>0</v>
      </c>
      <c r="CR189" s="294">
        <v>0</v>
      </c>
      <c r="CS189" s="294">
        <v>0</v>
      </c>
      <c r="CT189" s="294">
        <v>0</v>
      </c>
      <c r="CU189" s="294">
        <v>0</v>
      </c>
      <c r="CV189" s="294">
        <v>0</v>
      </c>
      <c r="CW189" s="294">
        <v>0</v>
      </c>
      <c r="CX189" s="294"/>
      <c r="CY189" s="294"/>
      <c r="CZ189" s="294"/>
      <c r="DA189" s="294">
        <v>-192582.22999999986</v>
      </c>
      <c r="DB189" s="294">
        <v>-192582.22999999986</v>
      </c>
      <c r="DC189" s="294">
        <v>0</v>
      </c>
      <c r="DD189" s="294">
        <v>0</v>
      </c>
      <c r="DE189" s="294">
        <v>0</v>
      </c>
      <c r="DF189" s="294">
        <v>0</v>
      </c>
      <c r="DG189" s="294">
        <v>-729.76</v>
      </c>
      <c r="DH189" s="294">
        <v>0</v>
      </c>
      <c r="DI189" s="294">
        <v>0</v>
      </c>
      <c r="DJ189" s="294">
        <v>0</v>
      </c>
      <c r="DK189" s="294">
        <v>-729.76</v>
      </c>
      <c r="DL189" s="294">
        <v>0</v>
      </c>
      <c r="DM189" s="294">
        <v>0</v>
      </c>
      <c r="DN189" s="294">
        <v>0</v>
      </c>
      <c r="DO189" s="294">
        <v>0</v>
      </c>
      <c r="DP189" s="294">
        <v>0</v>
      </c>
      <c r="DQ189" s="324">
        <v>0</v>
      </c>
      <c r="DR189" s="295">
        <v>588273.44000000006</v>
      </c>
      <c r="DS189" s="325">
        <v>230383.88</v>
      </c>
      <c r="DT189" s="295">
        <v>37321.589999999997</v>
      </c>
      <c r="DU189" s="295">
        <v>144357.93</v>
      </c>
      <c r="DV189" s="295">
        <v>24000</v>
      </c>
      <c r="DW189" s="295">
        <v>0</v>
      </c>
    </row>
    <row r="190" spans="1:127">
      <c r="A190" s="321">
        <v>2306</v>
      </c>
      <c r="B190" s="322" t="s">
        <v>523</v>
      </c>
      <c r="C190" s="321">
        <v>2306</v>
      </c>
      <c r="D190" s="323" t="s">
        <v>817</v>
      </c>
      <c r="E190" s="323" t="s">
        <v>539</v>
      </c>
      <c r="F190" s="323" t="s">
        <v>818</v>
      </c>
      <c r="G190" s="323" t="s">
        <v>537</v>
      </c>
      <c r="H190" s="294">
        <v>1270425.44</v>
      </c>
      <c r="I190" s="294">
        <v>0</v>
      </c>
      <c r="J190" s="294">
        <v>23661.119999999999</v>
      </c>
      <c r="K190" s="294">
        <v>0</v>
      </c>
      <c r="L190" s="294">
        <v>113960</v>
      </c>
      <c r="M190" s="294">
        <v>6142.57</v>
      </c>
      <c r="N190" s="294">
        <v>0</v>
      </c>
      <c r="O190" s="294">
        <v>-50</v>
      </c>
      <c r="P190" s="294">
        <v>74643.650000000023</v>
      </c>
      <c r="Q190" s="294">
        <v>7422.13</v>
      </c>
      <c r="R190" s="294">
        <v>0</v>
      </c>
      <c r="S190" s="294">
        <v>0</v>
      </c>
      <c r="T190" s="294">
        <v>7222.71</v>
      </c>
      <c r="U190" s="294">
        <v>0</v>
      </c>
      <c r="V190" s="294">
        <v>0</v>
      </c>
      <c r="W190" s="294">
        <v>6790</v>
      </c>
      <c r="X190" s="294">
        <v>50657</v>
      </c>
      <c r="Y190" s="294">
        <v>1560874.62</v>
      </c>
      <c r="Z190" s="294">
        <v>716624.84000000113</v>
      </c>
      <c r="AA190" s="294">
        <v>1779.0000000000005</v>
      </c>
      <c r="AB190" s="294">
        <v>272135.09000000003</v>
      </c>
      <c r="AC190" s="294">
        <v>43834.27000000031</v>
      </c>
      <c r="AD190" s="294">
        <v>103017.88</v>
      </c>
      <c r="AE190" s="294">
        <v>0</v>
      </c>
      <c r="AF190" s="294">
        <v>58725.979999999661</v>
      </c>
      <c r="AG190" s="294">
        <v>0</v>
      </c>
      <c r="AH190" s="294">
        <v>18767.63</v>
      </c>
      <c r="AI190" s="294">
        <v>0</v>
      </c>
      <c r="AJ190" s="294">
        <v>4.32</v>
      </c>
      <c r="AK190" s="294">
        <v>24811.66</v>
      </c>
      <c r="AL190" s="294">
        <v>1565.5</v>
      </c>
      <c r="AM190" s="294">
        <v>1460.76</v>
      </c>
      <c r="AN190" s="294">
        <v>5329.54</v>
      </c>
      <c r="AO190" s="294">
        <v>26561.649999999998</v>
      </c>
      <c r="AP190" s="294">
        <v>19886.79</v>
      </c>
      <c r="AQ190" s="294">
        <v>1762.38</v>
      </c>
      <c r="AR190" s="294">
        <v>132979.56</v>
      </c>
      <c r="AS190" s="294">
        <v>0</v>
      </c>
      <c r="AT190" s="294">
        <v>24.04</v>
      </c>
      <c r="AU190" s="294">
        <v>9440.2999999999975</v>
      </c>
      <c r="AV190" s="294">
        <v>5139.75</v>
      </c>
      <c r="AW190" s="294">
        <v>2607</v>
      </c>
      <c r="AX190" s="294">
        <v>82190.499999999971</v>
      </c>
      <c r="AY190" s="294">
        <v>12535.400000000001</v>
      </c>
      <c r="AZ190" s="294">
        <v>5189.49</v>
      </c>
      <c r="BA190" s="294">
        <v>54360.240000000005</v>
      </c>
      <c r="BB190" s="294">
        <v>0</v>
      </c>
      <c r="BC190" s="294">
        <v>0</v>
      </c>
      <c r="BD190" s="294">
        <v>0</v>
      </c>
      <c r="BE190" s="294">
        <v>1600733.570000001</v>
      </c>
      <c r="BF190" s="294">
        <v>319770.74999999936</v>
      </c>
      <c r="BG190" s="294">
        <v>-39858.950000000885</v>
      </c>
      <c r="BH190" s="294">
        <v>279911.79999999847</v>
      </c>
      <c r="BI190" s="294">
        <v>26109</v>
      </c>
      <c r="BJ190" s="294">
        <v>0</v>
      </c>
      <c r="BK190" s="294">
        <v>0</v>
      </c>
      <c r="BL190" s="294">
        <v>26109</v>
      </c>
      <c r="BM190" s="294">
        <v>0</v>
      </c>
      <c r="BN190" s="294">
        <v>21372.31</v>
      </c>
      <c r="BO190" s="294">
        <v>0</v>
      </c>
      <c r="BP190" s="294">
        <v>3199</v>
      </c>
      <c r="BQ190" s="294">
        <v>24571.31</v>
      </c>
      <c r="BR190" s="294">
        <v>29505.29</v>
      </c>
      <c r="BS190" s="294">
        <v>1537.6899999999987</v>
      </c>
      <c r="BT190" s="294">
        <v>31042.98</v>
      </c>
      <c r="BU190" s="294">
        <v>0</v>
      </c>
      <c r="BV190" s="294">
        <v>0</v>
      </c>
      <c r="BW190" s="294">
        <v>0</v>
      </c>
      <c r="BX190" s="294">
        <v>0</v>
      </c>
      <c r="BY190" s="294">
        <v>0</v>
      </c>
      <c r="BZ190" s="294">
        <v>0</v>
      </c>
      <c r="CA190" s="294">
        <v>0</v>
      </c>
      <c r="CB190" s="294">
        <v>0</v>
      </c>
      <c r="CC190" s="294">
        <v>0</v>
      </c>
      <c r="CD190" s="294">
        <v>279911.79999999847</v>
      </c>
      <c r="CE190" s="294">
        <v>0</v>
      </c>
      <c r="CF190" s="294">
        <v>31042.98</v>
      </c>
      <c r="CG190" s="294">
        <v>0</v>
      </c>
      <c r="CH190" s="294">
        <v>0</v>
      </c>
      <c r="CI190" s="294">
        <f t="shared" si="2"/>
        <v>310954.77999999846</v>
      </c>
      <c r="CJ190" s="294">
        <v>458548.66</v>
      </c>
      <c r="CK190" s="294">
        <v>126</v>
      </c>
      <c r="CL190" s="294">
        <v>0</v>
      </c>
      <c r="CM190" s="294">
        <v>458422.66</v>
      </c>
      <c r="CN190" s="294">
        <v>0</v>
      </c>
      <c r="CO190" s="294">
        <v>0</v>
      </c>
      <c r="CP190" s="294">
        <v>3027.06</v>
      </c>
      <c r="CQ190" s="294">
        <v>0</v>
      </c>
      <c r="CR190" s="294">
        <v>-160885</v>
      </c>
      <c r="CS190" s="294">
        <v>300564.71999999997</v>
      </c>
      <c r="CT190" s="294">
        <v>0</v>
      </c>
      <c r="CU190" s="294">
        <v>0</v>
      </c>
      <c r="CV190" s="294">
        <v>0</v>
      </c>
      <c r="CW190" s="294">
        <v>0</v>
      </c>
      <c r="CX190" s="294"/>
      <c r="CY190" s="294"/>
      <c r="CZ190" s="294"/>
      <c r="DA190" s="294">
        <v>0</v>
      </c>
      <c r="DB190" s="294">
        <v>0</v>
      </c>
      <c r="DC190" s="294">
        <v>0</v>
      </c>
      <c r="DD190" s="294">
        <v>10389.74</v>
      </c>
      <c r="DE190" s="294">
        <v>0</v>
      </c>
      <c r="DF190" s="294">
        <v>0</v>
      </c>
      <c r="DG190" s="294">
        <v>0</v>
      </c>
      <c r="DH190" s="294">
        <v>0</v>
      </c>
      <c r="DI190" s="294">
        <v>0</v>
      </c>
      <c r="DJ190" s="294">
        <v>0</v>
      </c>
      <c r="DK190" s="294">
        <v>10389.74</v>
      </c>
      <c r="DL190" s="294">
        <v>0</v>
      </c>
      <c r="DM190" s="294">
        <v>0</v>
      </c>
      <c r="DN190" s="294">
        <v>0</v>
      </c>
      <c r="DO190" s="294">
        <v>0</v>
      </c>
      <c r="DP190" s="294">
        <v>0</v>
      </c>
      <c r="DQ190" s="324">
        <v>0.32000000000698492</v>
      </c>
      <c r="DR190" s="295">
        <v>1196117.0600000012</v>
      </c>
      <c r="DS190" s="325">
        <v>404616.50999999978</v>
      </c>
      <c r="DT190" s="295">
        <v>12535.400000000001</v>
      </c>
      <c r="DU190" s="295">
        <v>89238.490000000034</v>
      </c>
      <c r="DV190" s="295">
        <v>0</v>
      </c>
      <c r="DW190" s="295">
        <v>0</v>
      </c>
    </row>
    <row r="191" spans="1:127" ht="14.25" customHeight="1">
      <c r="A191" s="321">
        <v>2308</v>
      </c>
      <c r="B191" s="322" t="s">
        <v>383</v>
      </c>
      <c r="C191" s="321">
        <v>2308</v>
      </c>
      <c r="D191" s="323" t="s">
        <v>817</v>
      </c>
      <c r="E191" s="323" t="s">
        <v>539</v>
      </c>
      <c r="F191" s="323" t="s">
        <v>818</v>
      </c>
      <c r="G191" s="323" t="s">
        <v>537</v>
      </c>
      <c r="H191" s="294">
        <v>2690724.42</v>
      </c>
      <c r="I191" s="294">
        <v>0</v>
      </c>
      <c r="J191" s="294">
        <v>125308.44</v>
      </c>
      <c r="K191" s="294">
        <v>0</v>
      </c>
      <c r="L191" s="294">
        <v>337440</v>
      </c>
      <c r="M191" s="294">
        <v>2342.5700000000002</v>
      </c>
      <c r="N191" s="294">
        <v>0</v>
      </c>
      <c r="O191" s="294">
        <v>3217</v>
      </c>
      <c r="P191" s="294">
        <v>38012.36</v>
      </c>
      <c r="Q191" s="294">
        <v>35108.769999999997</v>
      </c>
      <c r="R191" s="294">
        <v>0</v>
      </c>
      <c r="S191" s="294">
        <v>0</v>
      </c>
      <c r="T191" s="294">
        <v>9010.7000000000007</v>
      </c>
      <c r="U191" s="294">
        <v>1100</v>
      </c>
      <c r="V191" s="294">
        <v>0</v>
      </c>
      <c r="W191" s="294">
        <v>11143.88</v>
      </c>
      <c r="X191" s="294">
        <v>49826</v>
      </c>
      <c r="Y191" s="294">
        <v>3303234.1399999997</v>
      </c>
      <c r="Z191" s="294">
        <v>1424416.2</v>
      </c>
      <c r="AA191" s="294">
        <v>0</v>
      </c>
      <c r="AB191" s="294">
        <v>610462.31000000006</v>
      </c>
      <c r="AC191" s="294">
        <v>133866.78</v>
      </c>
      <c r="AD191" s="294">
        <v>213164.35</v>
      </c>
      <c r="AE191" s="294">
        <v>98932.49</v>
      </c>
      <c r="AF191" s="294">
        <v>94683.62</v>
      </c>
      <c r="AG191" s="294">
        <v>-438.75</v>
      </c>
      <c r="AH191" s="294">
        <v>6652.22</v>
      </c>
      <c r="AI191" s="294">
        <v>0</v>
      </c>
      <c r="AJ191" s="294">
        <v>0</v>
      </c>
      <c r="AK191" s="294">
        <v>33117.85</v>
      </c>
      <c r="AL191" s="294">
        <v>5281.38</v>
      </c>
      <c r="AM191" s="294">
        <v>22538.11</v>
      </c>
      <c r="AN191" s="294">
        <v>10604.48</v>
      </c>
      <c r="AO191" s="294">
        <v>49728.39</v>
      </c>
      <c r="AP191" s="294">
        <v>36039.78</v>
      </c>
      <c r="AQ191" s="294">
        <v>13268.25</v>
      </c>
      <c r="AR191" s="294">
        <v>45016.27</v>
      </c>
      <c r="AS191" s="294">
        <v>25014.199999999997</v>
      </c>
      <c r="AT191" s="294">
        <v>0</v>
      </c>
      <c r="AU191" s="294">
        <v>58762.589999999989</v>
      </c>
      <c r="AV191" s="294">
        <v>9471</v>
      </c>
      <c r="AW191" s="294">
        <v>0</v>
      </c>
      <c r="AX191" s="294">
        <v>74386.139999999985</v>
      </c>
      <c r="AY191" s="294">
        <v>239292.77</v>
      </c>
      <c r="AZ191" s="294">
        <v>29420</v>
      </c>
      <c r="BA191" s="294">
        <v>143573.47</v>
      </c>
      <c r="BB191" s="294">
        <v>0</v>
      </c>
      <c r="BC191" s="294">
        <v>0</v>
      </c>
      <c r="BD191" s="294">
        <v>0</v>
      </c>
      <c r="BE191" s="294">
        <v>3377253.9000000008</v>
      </c>
      <c r="BF191" s="294">
        <v>506946.21999999945</v>
      </c>
      <c r="BG191" s="294">
        <v>-74019.760000001173</v>
      </c>
      <c r="BH191" s="294">
        <v>432926.45999999827</v>
      </c>
      <c r="BI191" s="294">
        <v>8892.6299999999992</v>
      </c>
      <c r="BJ191" s="294">
        <v>0</v>
      </c>
      <c r="BK191" s="294">
        <v>0</v>
      </c>
      <c r="BL191" s="294">
        <v>8892.6299999999992</v>
      </c>
      <c r="BM191" s="294">
        <v>0</v>
      </c>
      <c r="BN191" s="294">
        <v>0</v>
      </c>
      <c r="BO191" s="294">
        <v>0</v>
      </c>
      <c r="BP191" s="294">
        <v>0</v>
      </c>
      <c r="BQ191" s="294">
        <v>0</v>
      </c>
      <c r="BR191" s="294">
        <v>17537.740000000002</v>
      </c>
      <c r="BS191" s="294">
        <v>8892.6299999999992</v>
      </c>
      <c r="BT191" s="294">
        <v>26430.370000000003</v>
      </c>
      <c r="BU191" s="294">
        <v>0</v>
      </c>
      <c r="BV191" s="294">
        <v>0</v>
      </c>
      <c r="BW191" s="294">
        <v>0</v>
      </c>
      <c r="BX191" s="294">
        <v>0</v>
      </c>
      <c r="BY191" s="294">
        <v>0</v>
      </c>
      <c r="BZ191" s="294">
        <v>0</v>
      </c>
      <c r="CA191" s="294">
        <v>0</v>
      </c>
      <c r="CB191" s="294">
        <v>0</v>
      </c>
      <c r="CC191" s="294">
        <v>0</v>
      </c>
      <c r="CD191" s="294">
        <v>432926.45999999827</v>
      </c>
      <c r="CE191" s="294">
        <v>0</v>
      </c>
      <c r="CF191" s="294">
        <v>26430.370000000003</v>
      </c>
      <c r="CG191" s="294">
        <v>0</v>
      </c>
      <c r="CH191" s="294">
        <v>0</v>
      </c>
      <c r="CI191" s="294">
        <f t="shared" si="2"/>
        <v>459356.82999999827</v>
      </c>
      <c r="CJ191" s="294">
        <v>445156.52</v>
      </c>
      <c r="CK191" s="294">
        <v>275205.09000000003</v>
      </c>
      <c r="CL191" s="294">
        <v>0</v>
      </c>
      <c r="CM191" s="294">
        <v>169951.43</v>
      </c>
      <c r="CN191" s="294">
        <v>0</v>
      </c>
      <c r="CO191" s="294">
        <v>0</v>
      </c>
      <c r="CP191" s="294">
        <v>13044.74</v>
      </c>
      <c r="CQ191" s="294">
        <v>0</v>
      </c>
      <c r="CR191" s="294">
        <v>-1703.27</v>
      </c>
      <c r="CS191" s="294">
        <v>181292.9</v>
      </c>
      <c r="CT191" s="294">
        <v>296911.31</v>
      </c>
      <c r="CU191" s="294">
        <v>0</v>
      </c>
      <c r="CV191" s="294">
        <v>0</v>
      </c>
      <c r="CW191" s="294">
        <v>296911.31</v>
      </c>
      <c r="CX191" s="294"/>
      <c r="CY191" s="294"/>
      <c r="CZ191" s="294"/>
      <c r="DA191" s="294">
        <v>0</v>
      </c>
      <c r="DB191" s="294">
        <v>296911.31</v>
      </c>
      <c r="DC191" s="294">
        <v>0</v>
      </c>
      <c r="DD191" s="294">
        <v>0</v>
      </c>
      <c r="DE191" s="294">
        <v>0</v>
      </c>
      <c r="DF191" s="294">
        <v>0</v>
      </c>
      <c r="DG191" s="294">
        <v>-12812.75</v>
      </c>
      <c r="DH191" s="294">
        <v>-6034.56</v>
      </c>
      <c r="DI191" s="294">
        <v>0</v>
      </c>
      <c r="DJ191" s="294">
        <v>0</v>
      </c>
      <c r="DK191" s="294">
        <v>-18847.310000000001</v>
      </c>
      <c r="DL191" s="294">
        <v>0</v>
      </c>
      <c r="DM191" s="294">
        <v>0</v>
      </c>
      <c r="DN191" s="294">
        <v>0</v>
      </c>
      <c r="DO191" s="294">
        <v>0</v>
      </c>
      <c r="DP191" s="294">
        <v>0</v>
      </c>
      <c r="DQ191" s="324">
        <v>-6.9999999948777258E-2</v>
      </c>
      <c r="DR191" s="295">
        <v>2575087.0000000005</v>
      </c>
      <c r="DS191" s="325">
        <v>802166.90000000037</v>
      </c>
      <c r="DT191" s="295">
        <v>239292.77</v>
      </c>
      <c r="DU191" s="295">
        <v>85348.83</v>
      </c>
      <c r="DV191" s="295">
        <v>1100</v>
      </c>
      <c r="DW191" s="295">
        <v>0</v>
      </c>
    </row>
    <row r="192" spans="1:127" ht="31">
      <c r="A192" s="321">
        <v>2245</v>
      </c>
      <c r="B192" s="322" t="s">
        <v>524</v>
      </c>
      <c r="C192" s="321">
        <v>2245</v>
      </c>
      <c r="D192" s="323" t="s">
        <v>817</v>
      </c>
      <c r="E192" s="323" t="s">
        <v>539</v>
      </c>
      <c r="F192" s="323" t="s">
        <v>818</v>
      </c>
      <c r="G192" s="323" t="s">
        <v>537</v>
      </c>
      <c r="H192" s="294">
        <v>1673592.95</v>
      </c>
      <c r="I192" s="294">
        <v>0</v>
      </c>
      <c r="J192" s="294">
        <v>169034.9</v>
      </c>
      <c r="K192" s="294">
        <v>0</v>
      </c>
      <c r="L192" s="294">
        <v>201280</v>
      </c>
      <c r="M192" s="294">
        <v>856.93</v>
      </c>
      <c r="N192" s="294">
        <v>0</v>
      </c>
      <c r="O192" s="294">
        <v>260</v>
      </c>
      <c r="P192" s="294">
        <v>12656.67</v>
      </c>
      <c r="Q192" s="294">
        <v>0</v>
      </c>
      <c r="R192" s="294">
        <v>0</v>
      </c>
      <c r="S192" s="294">
        <v>0</v>
      </c>
      <c r="T192" s="294">
        <v>0</v>
      </c>
      <c r="U192" s="294">
        <v>24217.91</v>
      </c>
      <c r="V192" s="294">
        <v>0</v>
      </c>
      <c r="W192" s="294">
        <v>8083.25</v>
      </c>
      <c r="X192" s="294">
        <v>33281</v>
      </c>
      <c r="Y192" s="294">
        <v>2123263.6099999994</v>
      </c>
      <c r="Z192" s="294">
        <v>872625.20000000135</v>
      </c>
      <c r="AA192" s="294">
        <v>0</v>
      </c>
      <c r="AB192" s="294">
        <v>356156.64</v>
      </c>
      <c r="AC192" s="294">
        <v>78590.67000000074</v>
      </c>
      <c r="AD192" s="294">
        <v>171037.93</v>
      </c>
      <c r="AE192" s="294">
        <v>0</v>
      </c>
      <c r="AF192" s="294">
        <v>12342.609999999637</v>
      </c>
      <c r="AG192" s="294">
        <v>6864.170000000051</v>
      </c>
      <c r="AH192" s="294">
        <v>4288.6899999999996</v>
      </c>
      <c r="AI192" s="294">
        <v>0</v>
      </c>
      <c r="AJ192" s="294">
        <v>3476.15</v>
      </c>
      <c r="AK192" s="294">
        <v>10875.28</v>
      </c>
      <c r="AL192" s="294">
        <v>2730</v>
      </c>
      <c r="AM192" s="294">
        <v>190.55</v>
      </c>
      <c r="AN192" s="294">
        <v>4797.7</v>
      </c>
      <c r="AO192" s="294">
        <v>35377.29</v>
      </c>
      <c r="AP192" s="294">
        <v>18595.43</v>
      </c>
      <c r="AQ192" s="294">
        <v>15766.4</v>
      </c>
      <c r="AR192" s="294">
        <v>85183.330000000133</v>
      </c>
      <c r="AS192" s="294">
        <v>4756.5</v>
      </c>
      <c r="AT192" s="294">
        <v>52582</v>
      </c>
      <c r="AU192" s="294">
        <v>0</v>
      </c>
      <c r="AV192" s="294">
        <v>5139.75</v>
      </c>
      <c r="AW192" s="294">
        <v>3676.4</v>
      </c>
      <c r="AX192" s="294">
        <v>121801.60000000001</v>
      </c>
      <c r="AY192" s="294">
        <v>238425.51</v>
      </c>
      <c r="AZ192" s="294">
        <v>37175.700000000004</v>
      </c>
      <c r="BA192" s="294">
        <v>159849.27000000002</v>
      </c>
      <c r="BB192" s="294">
        <v>0</v>
      </c>
      <c r="BC192" s="294">
        <v>0</v>
      </c>
      <c r="BD192" s="294">
        <v>0</v>
      </c>
      <c r="BE192" s="294">
        <v>2302304.7700000019</v>
      </c>
      <c r="BF192" s="294">
        <v>204337.54000000044</v>
      </c>
      <c r="BG192" s="294">
        <v>-179041.16000000248</v>
      </c>
      <c r="BH192" s="294">
        <v>25296.379999997967</v>
      </c>
      <c r="BI192" s="294">
        <v>6551.5</v>
      </c>
      <c r="BJ192" s="294">
        <v>0</v>
      </c>
      <c r="BK192" s="294">
        <v>0</v>
      </c>
      <c r="BL192" s="294">
        <v>6551.5</v>
      </c>
      <c r="BM192" s="294">
        <v>0</v>
      </c>
      <c r="BN192" s="294">
        <v>5203.83</v>
      </c>
      <c r="BO192" s="294">
        <v>0</v>
      </c>
      <c r="BP192" s="294">
        <v>1888.07</v>
      </c>
      <c r="BQ192" s="294">
        <v>7091.9</v>
      </c>
      <c r="BR192" s="294">
        <v>45641.729999999996</v>
      </c>
      <c r="BS192" s="294">
        <v>-540.39999999999964</v>
      </c>
      <c r="BT192" s="294">
        <v>45101.329999999994</v>
      </c>
      <c r="BU192" s="294">
        <v>0</v>
      </c>
      <c r="BV192" s="294">
        <v>0</v>
      </c>
      <c r="BW192" s="294">
        <v>0</v>
      </c>
      <c r="BX192" s="294">
        <v>0</v>
      </c>
      <c r="BY192" s="294">
        <v>0</v>
      </c>
      <c r="BZ192" s="294">
        <v>0</v>
      </c>
      <c r="CA192" s="294">
        <v>0</v>
      </c>
      <c r="CB192" s="294">
        <v>0</v>
      </c>
      <c r="CC192" s="294">
        <v>0</v>
      </c>
      <c r="CD192" s="294">
        <v>25296.379999997967</v>
      </c>
      <c r="CE192" s="294">
        <v>0</v>
      </c>
      <c r="CF192" s="294">
        <v>45101.329999999994</v>
      </c>
      <c r="CG192" s="294">
        <v>0</v>
      </c>
      <c r="CH192" s="294">
        <v>0</v>
      </c>
      <c r="CI192" s="294">
        <f t="shared" si="2"/>
        <v>70397.709999997955</v>
      </c>
      <c r="CJ192" s="294">
        <v>231188.33</v>
      </c>
      <c r="CK192" s="294">
        <v>338.22</v>
      </c>
      <c r="CL192" s="294">
        <v>0</v>
      </c>
      <c r="CM192" s="294">
        <v>230850.11</v>
      </c>
      <c r="CN192" s="294">
        <v>0</v>
      </c>
      <c r="CO192" s="294">
        <v>0</v>
      </c>
      <c r="CP192" s="294">
        <v>4217.21</v>
      </c>
      <c r="CQ192" s="294">
        <v>0</v>
      </c>
      <c r="CR192" s="294">
        <v>-120067.83</v>
      </c>
      <c r="CS192" s="294">
        <v>114999.48999999998</v>
      </c>
      <c r="CT192" s="294">
        <v>0</v>
      </c>
      <c r="CU192" s="294">
        <v>0</v>
      </c>
      <c r="CV192" s="294">
        <v>0</v>
      </c>
      <c r="CW192" s="294">
        <v>0</v>
      </c>
      <c r="CX192" s="294"/>
      <c r="CY192" s="294"/>
      <c r="CZ192" s="294"/>
      <c r="DA192" s="294">
        <v>0</v>
      </c>
      <c r="DB192" s="294">
        <v>0</v>
      </c>
      <c r="DC192" s="294">
        <v>0</v>
      </c>
      <c r="DD192" s="294">
        <v>7671.67</v>
      </c>
      <c r="DE192" s="294">
        <v>0</v>
      </c>
      <c r="DF192" s="294">
        <v>0</v>
      </c>
      <c r="DG192" s="294">
        <v>-21652.79</v>
      </c>
      <c r="DH192" s="294">
        <v>-30620.66</v>
      </c>
      <c r="DI192" s="294">
        <v>0</v>
      </c>
      <c r="DJ192" s="294">
        <v>0</v>
      </c>
      <c r="DK192" s="294">
        <v>-44601.78</v>
      </c>
      <c r="DL192" s="294">
        <v>0</v>
      </c>
      <c r="DM192" s="294">
        <v>0</v>
      </c>
      <c r="DN192" s="294">
        <v>0</v>
      </c>
      <c r="DO192" s="294">
        <v>0</v>
      </c>
      <c r="DP192" s="294">
        <v>0</v>
      </c>
      <c r="DQ192" s="324">
        <v>0</v>
      </c>
      <c r="DR192" s="295">
        <v>1497617.2200000018</v>
      </c>
      <c r="DS192" s="325">
        <v>804687.55</v>
      </c>
      <c r="DT192" s="295">
        <v>238425.51</v>
      </c>
      <c r="DU192" s="295">
        <v>12916.67</v>
      </c>
      <c r="DV192" s="295">
        <v>24217.91</v>
      </c>
      <c r="DW192" s="295">
        <v>0</v>
      </c>
    </row>
    <row r="193" spans="1:127">
      <c r="A193" s="321">
        <v>1020</v>
      </c>
      <c r="B193" s="322" t="s">
        <v>474</v>
      </c>
      <c r="C193" s="321">
        <v>1020</v>
      </c>
      <c r="D193" s="323" t="s">
        <v>817</v>
      </c>
      <c r="E193" s="323" t="s">
        <v>536</v>
      </c>
      <c r="F193" s="323" t="s">
        <v>818</v>
      </c>
      <c r="G193" s="323" t="s">
        <v>800</v>
      </c>
      <c r="H193" s="294">
        <v>1305931.0900000001</v>
      </c>
      <c r="I193" s="294">
        <v>0</v>
      </c>
      <c r="J193" s="294">
        <v>72809.97</v>
      </c>
      <c r="K193" s="294">
        <v>0</v>
      </c>
      <c r="L193" s="294">
        <v>0</v>
      </c>
      <c r="M193" s="294">
        <v>0</v>
      </c>
      <c r="N193" s="294">
        <v>0</v>
      </c>
      <c r="O193" s="294">
        <v>1000</v>
      </c>
      <c r="P193" s="294">
        <v>0</v>
      </c>
      <c r="Q193" s="294">
        <v>0</v>
      </c>
      <c r="R193" s="294">
        <v>0</v>
      </c>
      <c r="S193" s="294">
        <v>0</v>
      </c>
      <c r="T193" s="294">
        <v>104734.65</v>
      </c>
      <c r="U193" s="294">
        <v>424893.08</v>
      </c>
      <c r="V193" s="294">
        <v>0</v>
      </c>
      <c r="W193" s="294">
        <v>0</v>
      </c>
      <c r="X193" s="294">
        <v>0</v>
      </c>
      <c r="Y193" s="294">
        <v>1909368.79</v>
      </c>
      <c r="Z193" s="294">
        <v>421825.90999999963</v>
      </c>
      <c r="AA193" s="294">
        <v>0</v>
      </c>
      <c r="AB193" s="294">
        <v>591421.76</v>
      </c>
      <c r="AC193" s="294">
        <v>79236.210000000021</v>
      </c>
      <c r="AD193" s="294">
        <v>56278.95</v>
      </c>
      <c r="AE193" s="294">
        <v>0</v>
      </c>
      <c r="AF193" s="294">
        <v>3831.6800000008661</v>
      </c>
      <c r="AG193" s="294">
        <v>4672.4499999999844</v>
      </c>
      <c r="AH193" s="294">
        <v>3061</v>
      </c>
      <c r="AI193" s="294">
        <v>0</v>
      </c>
      <c r="AJ193" s="294">
        <v>0</v>
      </c>
      <c r="AK193" s="294">
        <v>7665.2100000000019</v>
      </c>
      <c r="AL193" s="294">
        <v>0</v>
      </c>
      <c r="AM193" s="294">
        <v>14298.810000000001</v>
      </c>
      <c r="AN193" s="294">
        <v>4057.3</v>
      </c>
      <c r="AO193" s="294">
        <v>36036.550000000003</v>
      </c>
      <c r="AP193" s="294">
        <v>20981.57</v>
      </c>
      <c r="AQ193" s="294">
        <v>1966.6899999999998</v>
      </c>
      <c r="AR193" s="294">
        <v>37622.9</v>
      </c>
      <c r="AS193" s="294">
        <v>0</v>
      </c>
      <c r="AT193" s="294">
        <v>0</v>
      </c>
      <c r="AU193" s="294">
        <v>13372.159999999993</v>
      </c>
      <c r="AV193" s="294">
        <v>3291.75</v>
      </c>
      <c r="AW193" s="294">
        <v>0</v>
      </c>
      <c r="AX193" s="294">
        <v>18389.740000000002</v>
      </c>
      <c r="AY193" s="294">
        <v>265339.14</v>
      </c>
      <c r="AZ193" s="294">
        <v>7164.99</v>
      </c>
      <c r="BA193" s="294">
        <v>99413.260000000766</v>
      </c>
      <c r="BB193" s="294">
        <v>1264.3499999999999</v>
      </c>
      <c r="BC193" s="294">
        <v>0</v>
      </c>
      <c r="BD193" s="294">
        <v>0</v>
      </c>
      <c r="BE193" s="294">
        <v>1691192.3800000011</v>
      </c>
      <c r="BF193" s="294">
        <v>-431316.2</v>
      </c>
      <c r="BG193" s="294">
        <v>218176.40999999898</v>
      </c>
      <c r="BH193" s="294">
        <v>-213139.79000000103</v>
      </c>
      <c r="BI193" s="294">
        <v>5208.25</v>
      </c>
      <c r="BJ193" s="294">
        <v>0</v>
      </c>
      <c r="BK193" s="294">
        <v>0</v>
      </c>
      <c r="BL193" s="294">
        <v>5208.25</v>
      </c>
      <c r="BM193" s="294">
        <v>0</v>
      </c>
      <c r="BN193" s="294">
        <v>0</v>
      </c>
      <c r="BO193" s="294">
        <v>0</v>
      </c>
      <c r="BP193" s="294">
        <v>0</v>
      </c>
      <c r="BQ193" s="294">
        <v>0</v>
      </c>
      <c r="BR193" s="294">
        <v>46517.25</v>
      </c>
      <c r="BS193" s="294">
        <v>5208.25</v>
      </c>
      <c r="BT193" s="294">
        <v>51725.5</v>
      </c>
      <c r="BU193" s="294">
        <v>0</v>
      </c>
      <c r="BV193" s="294">
        <v>0</v>
      </c>
      <c r="BW193" s="294">
        <v>0</v>
      </c>
      <c r="BX193" s="294">
        <v>0</v>
      </c>
      <c r="BY193" s="294">
        <v>0</v>
      </c>
      <c r="BZ193" s="294">
        <v>0</v>
      </c>
      <c r="CA193" s="294">
        <v>0</v>
      </c>
      <c r="CB193" s="294">
        <v>0</v>
      </c>
      <c r="CC193" s="294">
        <v>0</v>
      </c>
      <c r="CD193" s="294">
        <v>-213139.79</v>
      </c>
      <c r="CE193" s="294">
        <v>0</v>
      </c>
      <c r="CF193" s="294">
        <v>51725.5</v>
      </c>
      <c r="CG193" s="294">
        <v>0</v>
      </c>
      <c r="CH193" s="294">
        <v>0</v>
      </c>
      <c r="CI193" s="294">
        <f t="shared" si="2"/>
        <v>-161414.29</v>
      </c>
      <c r="CJ193" s="294">
        <v>0</v>
      </c>
      <c r="CK193" s="294">
        <v>0</v>
      </c>
      <c r="CL193" s="294">
        <v>0</v>
      </c>
      <c r="CM193" s="294">
        <v>0</v>
      </c>
      <c r="CN193" s="294">
        <v>0</v>
      </c>
      <c r="CO193" s="294">
        <v>0</v>
      </c>
      <c r="CP193" s="294">
        <v>0</v>
      </c>
      <c r="CQ193" s="294">
        <v>0</v>
      </c>
      <c r="CR193" s="294">
        <v>0</v>
      </c>
      <c r="CS193" s="294">
        <v>0</v>
      </c>
      <c r="CT193" s="294">
        <v>0</v>
      </c>
      <c r="CU193" s="294">
        <v>0</v>
      </c>
      <c r="CV193" s="294">
        <v>0</v>
      </c>
      <c r="CW193" s="294">
        <v>0</v>
      </c>
      <c r="CX193" s="294"/>
      <c r="CY193" s="294"/>
      <c r="CZ193" s="294"/>
      <c r="DA193" s="294">
        <v>-134063.94000000102</v>
      </c>
      <c r="DB193" s="294">
        <v>-134063.94000000102</v>
      </c>
      <c r="DC193" s="294">
        <v>0</v>
      </c>
      <c r="DD193" s="294">
        <v>0</v>
      </c>
      <c r="DE193" s="294">
        <v>0</v>
      </c>
      <c r="DF193" s="294">
        <v>0</v>
      </c>
      <c r="DG193" s="294">
        <v>-27350.35</v>
      </c>
      <c r="DH193" s="294">
        <v>0</v>
      </c>
      <c r="DI193" s="294">
        <v>0</v>
      </c>
      <c r="DJ193" s="294">
        <v>0</v>
      </c>
      <c r="DK193" s="294">
        <v>-27350.35</v>
      </c>
      <c r="DL193" s="294">
        <v>0</v>
      </c>
      <c r="DM193" s="294">
        <v>0</v>
      </c>
      <c r="DN193" s="294">
        <v>0</v>
      </c>
      <c r="DO193" s="294">
        <v>0</v>
      </c>
      <c r="DP193" s="294">
        <v>0</v>
      </c>
      <c r="DQ193" s="324">
        <v>1.0186340659856796E-9</v>
      </c>
      <c r="DR193" s="295">
        <v>1157266.9600000004</v>
      </c>
      <c r="DS193" s="325">
        <v>533925.42000000062</v>
      </c>
      <c r="DT193" s="295">
        <v>265339.14</v>
      </c>
      <c r="DU193" s="295">
        <v>105734.65</v>
      </c>
      <c r="DV193" s="295">
        <v>424893.08</v>
      </c>
      <c r="DW193" s="295">
        <v>0</v>
      </c>
    </row>
    <row r="194" spans="1:127">
      <c r="A194" s="329">
        <v>1014</v>
      </c>
      <c r="B194" s="330" t="s">
        <v>475</v>
      </c>
      <c r="C194" s="329">
        <v>1014</v>
      </c>
      <c r="D194" s="323" t="s">
        <v>817</v>
      </c>
      <c r="E194" s="323" t="s">
        <v>536</v>
      </c>
      <c r="F194" s="129" t="s">
        <v>818</v>
      </c>
      <c r="G194" s="323" t="s">
        <v>537</v>
      </c>
      <c r="H194" s="331">
        <v>764704.48</v>
      </c>
      <c r="I194" s="331">
        <v>0</v>
      </c>
      <c r="J194" s="331">
        <v>45292.67</v>
      </c>
      <c r="K194" s="331">
        <v>0</v>
      </c>
      <c r="L194" s="331">
        <v>0</v>
      </c>
      <c r="M194" s="331">
        <v>22087.48</v>
      </c>
      <c r="N194" s="331">
        <v>0</v>
      </c>
      <c r="O194" s="331">
        <v>0</v>
      </c>
      <c r="P194" s="331">
        <v>36872.479999999996</v>
      </c>
      <c r="Q194" s="331">
        <v>0</v>
      </c>
      <c r="R194" s="331">
        <v>0</v>
      </c>
      <c r="S194" s="331">
        <v>0</v>
      </c>
      <c r="T194" s="331">
        <v>0</v>
      </c>
      <c r="U194" s="331">
        <v>12000</v>
      </c>
      <c r="V194" s="331">
        <v>0</v>
      </c>
      <c r="W194" s="331">
        <v>0</v>
      </c>
      <c r="X194" s="331">
        <v>0</v>
      </c>
      <c r="Y194" s="331">
        <v>880957.11</v>
      </c>
      <c r="Z194" s="331">
        <v>200807.43</v>
      </c>
      <c r="AA194" s="331">
        <v>0</v>
      </c>
      <c r="AB194" s="331">
        <v>151532.87000000002</v>
      </c>
      <c r="AC194" s="331">
        <v>27473.80999999991</v>
      </c>
      <c r="AD194" s="331">
        <v>123953.83</v>
      </c>
      <c r="AE194" s="331">
        <v>0</v>
      </c>
      <c r="AF194" s="331">
        <v>13325.549999999785</v>
      </c>
      <c r="AG194" s="331">
        <v>2045.7300000000059</v>
      </c>
      <c r="AH194" s="331">
        <v>7470.4</v>
      </c>
      <c r="AI194" s="331">
        <v>0</v>
      </c>
      <c r="AJ194" s="331">
        <v>0</v>
      </c>
      <c r="AK194" s="331">
        <v>37967.949999999997</v>
      </c>
      <c r="AL194" s="331">
        <v>4100.6099999999997</v>
      </c>
      <c r="AM194" s="331">
        <v>1481.8099999999997</v>
      </c>
      <c r="AN194" s="331">
        <v>1370.5</v>
      </c>
      <c r="AO194" s="331">
        <v>8715.82</v>
      </c>
      <c r="AP194" s="331">
        <v>0</v>
      </c>
      <c r="AQ194" s="331">
        <v>4523.67</v>
      </c>
      <c r="AR194" s="331">
        <v>14276.279999999992</v>
      </c>
      <c r="AS194" s="331">
        <v>654</v>
      </c>
      <c r="AT194" s="331">
        <v>0</v>
      </c>
      <c r="AU194" s="331">
        <v>52303.990000000005</v>
      </c>
      <c r="AV194" s="331">
        <v>3291.75</v>
      </c>
      <c r="AW194" s="331">
        <v>0</v>
      </c>
      <c r="AX194" s="331">
        <v>4533.130000000001</v>
      </c>
      <c r="AY194" s="331">
        <v>92015.560000000085</v>
      </c>
      <c r="AZ194" s="331">
        <v>0</v>
      </c>
      <c r="BA194" s="331">
        <v>66761.790000000008</v>
      </c>
      <c r="BB194" s="331">
        <v>0</v>
      </c>
      <c r="BC194" s="331">
        <v>0</v>
      </c>
      <c r="BD194" s="331">
        <v>0</v>
      </c>
      <c r="BE194" s="331">
        <v>818606.47999999986</v>
      </c>
      <c r="BF194" s="331">
        <v>206981.41000000003</v>
      </c>
      <c r="BG194" s="331">
        <v>62350.630000000121</v>
      </c>
      <c r="BH194" s="331">
        <v>269332.04000000015</v>
      </c>
      <c r="BI194" s="331">
        <v>4978.75</v>
      </c>
      <c r="BJ194" s="331">
        <v>0</v>
      </c>
      <c r="BK194" s="331">
        <v>0</v>
      </c>
      <c r="BL194" s="331">
        <v>4978.75</v>
      </c>
      <c r="BM194" s="331">
        <v>0</v>
      </c>
      <c r="BN194" s="331">
        <v>0</v>
      </c>
      <c r="BO194" s="331">
        <v>0</v>
      </c>
      <c r="BP194" s="331">
        <v>0</v>
      </c>
      <c r="BQ194" s="331">
        <v>0</v>
      </c>
      <c r="BR194" s="331">
        <v>24876.93</v>
      </c>
      <c r="BS194" s="331">
        <v>4978.75</v>
      </c>
      <c r="BT194" s="331">
        <v>29855.68</v>
      </c>
      <c r="BU194" s="331">
        <v>0</v>
      </c>
      <c r="BV194" s="331">
        <v>0</v>
      </c>
      <c r="BW194" s="331">
        <v>0</v>
      </c>
      <c r="BX194" s="331">
        <v>0</v>
      </c>
      <c r="BY194" s="331">
        <v>0</v>
      </c>
      <c r="BZ194" s="331">
        <v>0</v>
      </c>
      <c r="CA194" s="331">
        <v>0</v>
      </c>
      <c r="CB194" s="331">
        <v>0</v>
      </c>
      <c r="CC194" s="331">
        <v>0</v>
      </c>
      <c r="CD194" s="331">
        <v>269332.04000000015</v>
      </c>
      <c r="CE194" s="331"/>
      <c r="CF194" s="331">
        <v>29855.68</v>
      </c>
      <c r="CG194" s="331"/>
      <c r="CH194" s="331">
        <v>0</v>
      </c>
      <c r="CI194" s="294">
        <v>299187.72000000015</v>
      </c>
      <c r="CJ194" s="331">
        <v>351927.86</v>
      </c>
      <c r="CK194" s="331">
        <v>0</v>
      </c>
      <c r="CL194" s="331">
        <v>0</v>
      </c>
      <c r="CM194" s="331">
        <v>351927.86</v>
      </c>
      <c r="CN194" s="331">
        <v>0</v>
      </c>
      <c r="CO194" s="331">
        <v>0</v>
      </c>
      <c r="CP194" s="331">
        <v>0</v>
      </c>
      <c r="CQ194" s="331">
        <v>0</v>
      </c>
      <c r="CR194" s="331">
        <v>-58860.821199466096</v>
      </c>
      <c r="CS194" s="331">
        <v>293067.03880053386</v>
      </c>
      <c r="CT194" s="331">
        <v>0</v>
      </c>
      <c r="CU194" s="331">
        <v>0</v>
      </c>
      <c r="CV194" s="331">
        <v>0</v>
      </c>
      <c r="CW194" s="331">
        <v>0</v>
      </c>
      <c r="CX194" s="331"/>
      <c r="CY194" s="331"/>
      <c r="CZ194" s="331"/>
      <c r="DA194" s="331"/>
      <c r="DB194" s="331">
        <v>0</v>
      </c>
      <c r="DC194" s="331">
        <v>0</v>
      </c>
      <c r="DD194" s="331">
        <v>6246.3</v>
      </c>
      <c r="DE194" s="331">
        <v>0</v>
      </c>
      <c r="DF194" s="331">
        <v>0</v>
      </c>
      <c r="DG194" s="331">
        <v>0</v>
      </c>
      <c r="DH194" s="294">
        <v>-126</v>
      </c>
      <c r="DI194" s="331">
        <v>0</v>
      </c>
      <c r="DJ194" s="331">
        <v>0</v>
      </c>
      <c r="DK194" s="294">
        <v>6120.3</v>
      </c>
      <c r="DL194" s="331">
        <v>0</v>
      </c>
      <c r="DM194" s="331">
        <v>0</v>
      </c>
      <c r="DN194" s="331">
        <v>0</v>
      </c>
      <c r="DO194" s="331">
        <v>0</v>
      </c>
      <c r="DP194" s="331">
        <v>0</v>
      </c>
      <c r="DQ194" s="331">
        <v>1.1994661181233823E-3</v>
      </c>
      <c r="DR194" s="295">
        <v>680125.59999999963</v>
      </c>
      <c r="DS194" s="325">
        <v>299467.26000000013</v>
      </c>
      <c r="DT194" s="295">
        <v>92015.560000000085</v>
      </c>
      <c r="DU194" s="295">
        <v>36872.479999999996</v>
      </c>
      <c r="DV194" s="295">
        <v>12000</v>
      </c>
      <c r="DW194" s="295">
        <v>0</v>
      </c>
    </row>
    <row r="195" spans="1:127">
      <c r="A195" s="168">
        <v>2019</v>
      </c>
      <c r="B195" s="168" t="s">
        <v>476</v>
      </c>
      <c r="C195" s="168">
        <v>2019</v>
      </c>
      <c r="D195" s="323" t="s">
        <v>817</v>
      </c>
      <c r="E195" s="323" t="s">
        <v>539</v>
      </c>
      <c r="F195" s="168" t="s">
        <v>818</v>
      </c>
      <c r="G195" s="323" t="s">
        <v>800</v>
      </c>
      <c r="H195" s="295">
        <v>2344849.91</v>
      </c>
      <c r="I195" s="295">
        <v>0</v>
      </c>
      <c r="J195" s="295">
        <v>172470.33</v>
      </c>
      <c r="K195" s="295">
        <v>0</v>
      </c>
      <c r="L195" s="295">
        <v>296620</v>
      </c>
      <c r="M195" s="295">
        <v>-20030.55</v>
      </c>
      <c r="N195" s="295">
        <v>0</v>
      </c>
      <c r="O195" s="295">
        <v>0</v>
      </c>
      <c r="P195" s="295">
        <v>82589.50999999998</v>
      </c>
      <c r="Q195" s="295">
        <v>0</v>
      </c>
      <c r="R195" s="295">
        <v>0</v>
      </c>
      <c r="S195" s="295">
        <v>0</v>
      </c>
      <c r="T195" s="295">
        <v>33748.950000000004</v>
      </c>
      <c r="U195" s="295">
        <v>0</v>
      </c>
      <c r="V195" s="295">
        <v>0</v>
      </c>
      <c r="W195" s="295">
        <v>17745</v>
      </c>
      <c r="X195" s="295">
        <v>65659</v>
      </c>
      <c r="Y195" s="295">
        <v>2993652.1500000004</v>
      </c>
      <c r="Z195" s="295">
        <v>1464756.1800000004</v>
      </c>
      <c r="AA195" s="295">
        <v>0</v>
      </c>
      <c r="AB195" s="295">
        <v>297546.2</v>
      </c>
      <c r="AC195" s="295">
        <v>22841.970000000438</v>
      </c>
      <c r="AD195" s="295">
        <v>308002</v>
      </c>
      <c r="AE195" s="295">
        <v>0</v>
      </c>
      <c r="AF195" s="295">
        <v>76209.56999999992</v>
      </c>
      <c r="AG195" s="295">
        <v>1339.8700000000499</v>
      </c>
      <c r="AH195" s="295">
        <v>1914.4</v>
      </c>
      <c r="AI195" s="295">
        <v>0</v>
      </c>
      <c r="AJ195" s="295">
        <v>0</v>
      </c>
      <c r="AK195" s="295">
        <v>3251.880000000001</v>
      </c>
      <c r="AL195" s="295">
        <v>28690.959999999995</v>
      </c>
      <c r="AM195" s="295">
        <v>4091.8999999999996</v>
      </c>
      <c r="AN195" s="295">
        <v>36534.300000000003</v>
      </c>
      <c r="AO195" s="295">
        <v>91321.12</v>
      </c>
      <c r="AP195" s="295">
        <v>57582.77</v>
      </c>
      <c r="AQ195" s="295">
        <v>8870.23</v>
      </c>
      <c r="AR195" s="295">
        <v>54521.770000000004</v>
      </c>
      <c r="AS195" s="295">
        <v>0</v>
      </c>
      <c r="AT195" s="295">
        <v>0</v>
      </c>
      <c r="AU195" s="295">
        <v>167767.13000000018</v>
      </c>
      <c r="AV195" s="295">
        <v>0</v>
      </c>
      <c r="AW195" s="295">
        <v>0</v>
      </c>
      <c r="AX195" s="295">
        <v>159196.03000000003</v>
      </c>
      <c r="AY195" s="295">
        <v>11095.2</v>
      </c>
      <c r="AZ195" s="295">
        <v>36.059999999999491</v>
      </c>
      <c r="BA195" s="295">
        <v>269792.19</v>
      </c>
      <c r="BB195" s="295">
        <v>0</v>
      </c>
      <c r="BC195" s="295">
        <v>0</v>
      </c>
      <c r="BD195" s="295">
        <v>0</v>
      </c>
      <c r="BE195" s="295">
        <v>3065361.7300000014</v>
      </c>
      <c r="BF195" s="295">
        <v>194887.88999999972</v>
      </c>
      <c r="BG195" s="295">
        <v>-71709.580000001006</v>
      </c>
      <c r="BH195" s="295">
        <v>123178.30999999872</v>
      </c>
      <c r="BI195" s="295">
        <v>29632.48</v>
      </c>
      <c r="BJ195" s="295">
        <v>0</v>
      </c>
      <c r="BK195" s="295">
        <v>0</v>
      </c>
      <c r="BL195" s="295">
        <v>29632.48</v>
      </c>
      <c r="BM195" s="295">
        <v>0</v>
      </c>
      <c r="BN195" s="295">
        <v>0</v>
      </c>
      <c r="BO195" s="295">
        <v>0</v>
      </c>
      <c r="BP195" s="295">
        <v>0</v>
      </c>
      <c r="BQ195" s="295">
        <v>0</v>
      </c>
      <c r="BR195" s="295">
        <v>1255.239999999998</v>
      </c>
      <c r="BS195" s="295">
        <v>29632.48</v>
      </c>
      <c r="BT195" s="295">
        <v>30887.719999999998</v>
      </c>
      <c r="BU195" s="295">
        <v>0</v>
      </c>
      <c r="BV195" s="295">
        <v>0</v>
      </c>
      <c r="BW195" s="295">
        <v>0</v>
      </c>
      <c r="BX195" s="295">
        <v>0</v>
      </c>
      <c r="BY195" s="295">
        <v>0</v>
      </c>
      <c r="BZ195" s="295">
        <v>0</v>
      </c>
      <c r="CA195" s="295">
        <v>0</v>
      </c>
      <c r="CB195" s="295">
        <v>0</v>
      </c>
      <c r="CC195" s="295">
        <v>0</v>
      </c>
      <c r="CD195" s="295">
        <v>123178.31</v>
      </c>
      <c r="CE195" s="295">
        <v>0</v>
      </c>
      <c r="CF195" s="295">
        <v>30887.72</v>
      </c>
      <c r="CG195" s="295">
        <v>0</v>
      </c>
      <c r="CH195" s="295">
        <v>0</v>
      </c>
      <c r="CI195" s="294">
        <f t="shared" si="2"/>
        <v>154066.03</v>
      </c>
      <c r="CJ195" s="295">
        <v>0</v>
      </c>
      <c r="CK195" s="295">
        <v>0</v>
      </c>
      <c r="CL195" s="295">
        <v>0</v>
      </c>
      <c r="CM195" s="295">
        <v>0</v>
      </c>
      <c r="CN195" s="295">
        <v>0</v>
      </c>
      <c r="CO195" s="295">
        <v>0</v>
      </c>
      <c r="CP195" s="295">
        <v>0</v>
      </c>
      <c r="CQ195" s="295">
        <v>0</v>
      </c>
      <c r="CR195" s="295">
        <v>0</v>
      </c>
      <c r="CS195" s="295">
        <v>0</v>
      </c>
      <c r="CT195" s="295">
        <v>0</v>
      </c>
      <c r="CU195" s="295">
        <v>0</v>
      </c>
      <c r="CV195" s="295">
        <v>0</v>
      </c>
      <c r="CW195" s="295">
        <v>0</v>
      </c>
      <c r="CX195" s="295"/>
      <c r="CY195" s="295"/>
      <c r="CZ195" s="295"/>
      <c r="DA195" s="295">
        <v>149045.59999999873</v>
      </c>
      <c r="DB195" s="295">
        <v>149045.59999999873</v>
      </c>
      <c r="DC195" s="295">
        <v>0</v>
      </c>
      <c r="DD195" s="295">
        <v>5020.43</v>
      </c>
      <c r="DE195" s="295">
        <v>0</v>
      </c>
      <c r="DF195" s="295">
        <v>0</v>
      </c>
      <c r="DG195" s="295">
        <v>0</v>
      </c>
      <c r="DH195" s="294">
        <v>0</v>
      </c>
      <c r="DI195" s="295">
        <v>0</v>
      </c>
      <c r="DJ195" s="295">
        <v>0</v>
      </c>
      <c r="DK195" s="294">
        <v>5020.43</v>
      </c>
      <c r="DL195" s="295">
        <v>0</v>
      </c>
      <c r="DM195" s="295">
        <v>0</v>
      </c>
      <c r="DN195" s="295">
        <v>0</v>
      </c>
      <c r="DO195" s="295">
        <v>0</v>
      </c>
      <c r="DP195" s="295">
        <v>0</v>
      </c>
      <c r="DQ195" s="332">
        <v>1.280568540096283E-9</v>
      </c>
      <c r="DR195" s="295">
        <v>2170695.790000001</v>
      </c>
      <c r="DS195" s="325">
        <v>894665.94000000041</v>
      </c>
      <c r="DT195" s="295">
        <v>11095.2</v>
      </c>
      <c r="DU195" s="295">
        <v>116338.45999999999</v>
      </c>
      <c r="DV195" s="295">
        <v>0</v>
      </c>
      <c r="DW195" s="295">
        <v>0</v>
      </c>
    </row>
    <row r="196" spans="1:127">
      <c r="A196" s="321">
        <v>2011</v>
      </c>
      <c r="B196" s="322" t="s">
        <v>384</v>
      </c>
      <c r="C196" s="321">
        <v>2011</v>
      </c>
      <c r="D196" s="323" t="s">
        <v>817</v>
      </c>
      <c r="E196" s="323" t="s">
        <v>539</v>
      </c>
      <c r="F196" s="323" t="s">
        <v>818</v>
      </c>
      <c r="G196" s="323" t="s">
        <v>537</v>
      </c>
      <c r="H196" s="294">
        <v>3470607.35</v>
      </c>
      <c r="I196" s="294">
        <v>0</v>
      </c>
      <c r="J196" s="294">
        <v>140181.97</v>
      </c>
      <c r="K196" s="294">
        <v>0</v>
      </c>
      <c r="L196" s="294">
        <v>299610</v>
      </c>
      <c r="M196" s="294">
        <v>1913.86</v>
      </c>
      <c r="N196" s="294">
        <v>0</v>
      </c>
      <c r="O196" s="294">
        <v>17594.93</v>
      </c>
      <c r="P196" s="294">
        <v>68.94</v>
      </c>
      <c r="Q196" s="294">
        <v>46119.68</v>
      </c>
      <c r="R196" s="294">
        <v>0</v>
      </c>
      <c r="S196" s="294">
        <v>0</v>
      </c>
      <c r="T196" s="294">
        <v>35153.599999999999</v>
      </c>
      <c r="U196" s="294">
        <v>58071.24</v>
      </c>
      <c r="V196" s="294">
        <v>0</v>
      </c>
      <c r="W196" s="294">
        <v>11975</v>
      </c>
      <c r="X196" s="294">
        <v>96286</v>
      </c>
      <c r="Y196" s="294">
        <v>4177582.5700000008</v>
      </c>
      <c r="Z196" s="294">
        <v>2123594.4700000002</v>
      </c>
      <c r="AA196" s="294">
        <v>-338</v>
      </c>
      <c r="AB196" s="294">
        <v>269595.34000000003</v>
      </c>
      <c r="AC196" s="294">
        <v>0</v>
      </c>
      <c r="AD196" s="294">
        <v>222587.94</v>
      </c>
      <c r="AE196" s="294">
        <v>136639.09</v>
      </c>
      <c r="AF196" s="294">
        <v>75429.48</v>
      </c>
      <c r="AG196" s="294">
        <v>28809.51</v>
      </c>
      <c r="AH196" s="294">
        <v>1160</v>
      </c>
      <c r="AI196" s="294">
        <v>0</v>
      </c>
      <c r="AJ196" s="294">
        <v>0</v>
      </c>
      <c r="AK196" s="294">
        <v>3644.8</v>
      </c>
      <c r="AL196" s="294">
        <v>0</v>
      </c>
      <c r="AM196" s="294">
        <v>0</v>
      </c>
      <c r="AN196" s="294">
        <v>19828.63</v>
      </c>
      <c r="AO196" s="294">
        <v>41410.15</v>
      </c>
      <c r="AP196" s="294">
        <v>87256.25</v>
      </c>
      <c r="AQ196" s="294">
        <v>8678.2000000000007</v>
      </c>
      <c r="AR196" s="294">
        <v>155091.46000000002</v>
      </c>
      <c r="AS196" s="294">
        <v>58326.14</v>
      </c>
      <c r="AT196" s="294">
        <v>0</v>
      </c>
      <c r="AU196" s="294">
        <v>5403.84</v>
      </c>
      <c r="AV196" s="294">
        <v>18745.650000000001</v>
      </c>
      <c r="AW196" s="294">
        <v>5998</v>
      </c>
      <c r="AX196" s="294">
        <v>74815.63</v>
      </c>
      <c r="AY196" s="294">
        <v>352483.99</v>
      </c>
      <c r="AZ196" s="294">
        <v>58063.819999999992</v>
      </c>
      <c r="BA196" s="294">
        <v>109859.39</v>
      </c>
      <c r="BB196" s="294">
        <v>234603</v>
      </c>
      <c r="BC196" s="294">
        <v>0</v>
      </c>
      <c r="BD196" s="294">
        <v>0</v>
      </c>
      <c r="BE196" s="294">
        <v>4091686.7799999993</v>
      </c>
      <c r="BF196" s="294">
        <v>382019.71999999986</v>
      </c>
      <c r="BG196" s="294">
        <v>85895.790000001434</v>
      </c>
      <c r="BH196" s="294">
        <v>467915.51000000129</v>
      </c>
      <c r="BI196" s="294">
        <v>11080.75</v>
      </c>
      <c r="BJ196" s="294">
        <v>0</v>
      </c>
      <c r="BK196" s="294">
        <v>0</v>
      </c>
      <c r="BL196" s="294">
        <v>11080.75</v>
      </c>
      <c r="BM196" s="294">
        <v>0</v>
      </c>
      <c r="BN196" s="294">
        <v>0</v>
      </c>
      <c r="BO196" s="294">
        <v>0</v>
      </c>
      <c r="BP196" s="294">
        <v>0</v>
      </c>
      <c r="BQ196" s="294">
        <v>0</v>
      </c>
      <c r="BR196" s="294">
        <v>36951.25</v>
      </c>
      <c r="BS196" s="294">
        <v>11080.75</v>
      </c>
      <c r="BT196" s="294">
        <v>48032</v>
      </c>
      <c r="BU196" s="294">
        <v>0</v>
      </c>
      <c r="BV196" s="294">
        <v>0</v>
      </c>
      <c r="BW196" s="294">
        <v>0</v>
      </c>
      <c r="BX196" s="294">
        <v>0</v>
      </c>
      <c r="BY196" s="294">
        <v>0</v>
      </c>
      <c r="BZ196" s="294">
        <v>0</v>
      </c>
      <c r="CA196" s="294">
        <v>0</v>
      </c>
      <c r="CB196" s="294">
        <v>0</v>
      </c>
      <c r="CC196" s="294">
        <v>0</v>
      </c>
      <c r="CD196" s="294">
        <v>467915.51000000129</v>
      </c>
      <c r="CE196" s="294">
        <v>0</v>
      </c>
      <c r="CF196" s="294">
        <v>48032</v>
      </c>
      <c r="CG196" s="294">
        <v>0</v>
      </c>
      <c r="CH196" s="294">
        <v>0</v>
      </c>
      <c r="CI196" s="294">
        <f t="shared" si="2"/>
        <v>515947.51000000129</v>
      </c>
      <c r="CJ196" s="294">
        <v>567708.17000000004</v>
      </c>
      <c r="CK196" s="294">
        <v>21531.47</v>
      </c>
      <c r="CL196" s="294">
        <v>0</v>
      </c>
      <c r="CM196" s="294">
        <v>546176.70000000007</v>
      </c>
      <c r="CN196" s="294">
        <v>0</v>
      </c>
      <c r="CO196" s="294">
        <v>0</v>
      </c>
      <c r="CP196" s="294">
        <v>14633.39</v>
      </c>
      <c r="CQ196" s="294">
        <v>0</v>
      </c>
      <c r="CR196" s="294">
        <v>8436.02</v>
      </c>
      <c r="CS196" s="294">
        <v>569246.1100000001</v>
      </c>
      <c r="CT196" s="294">
        <v>0</v>
      </c>
      <c r="CU196" s="294">
        <v>0</v>
      </c>
      <c r="CV196" s="294">
        <v>0</v>
      </c>
      <c r="CW196" s="294">
        <v>0</v>
      </c>
      <c r="CX196" s="294"/>
      <c r="CY196" s="294"/>
      <c r="CZ196" s="294"/>
      <c r="DA196" s="294">
        <v>0</v>
      </c>
      <c r="DB196" s="294">
        <v>0</v>
      </c>
      <c r="DC196" s="294">
        <v>0</v>
      </c>
      <c r="DD196" s="294">
        <v>0</v>
      </c>
      <c r="DE196" s="294">
        <v>0</v>
      </c>
      <c r="DF196" s="294">
        <v>0</v>
      </c>
      <c r="DG196" s="294">
        <v>-53036.800000000003</v>
      </c>
      <c r="DH196" s="294">
        <v>-261.8</v>
      </c>
      <c r="DI196" s="294">
        <v>0</v>
      </c>
      <c r="DJ196" s="294">
        <v>0</v>
      </c>
      <c r="DK196" s="294">
        <v>-53298.600000000006</v>
      </c>
      <c r="DL196" s="294">
        <v>0</v>
      </c>
      <c r="DM196" s="294">
        <v>0</v>
      </c>
      <c r="DN196" s="294">
        <v>0</v>
      </c>
      <c r="DO196" s="294">
        <v>0</v>
      </c>
      <c r="DP196" s="294">
        <v>0</v>
      </c>
      <c r="DQ196" s="324">
        <v>0</v>
      </c>
      <c r="DR196" s="295">
        <v>2856317.8299999996</v>
      </c>
      <c r="DS196" s="325">
        <v>1235368.9499999997</v>
      </c>
      <c r="DT196" s="295">
        <v>352483.99</v>
      </c>
      <c r="DU196" s="295">
        <v>98937.15</v>
      </c>
      <c r="DV196" s="295">
        <v>58071.24</v>
      </c>
      <c r="DW196" s="295">
        <v>0</v>
      </c>
    </row>
    <row r="197" spans="1:127">
      <c r="A197" s="321">
        <v>4193</v>
      </c>
      <c r="B197" s="322" t="s">
        <v>385</v>
      </c>
      <c r="C197" s="321">
        <v>4193</v>
      </c>
      <c r="D197" s="323" t="s">
        <v>817</v>
      </c>
      <c r="E197" s="323" t="s">
        <v>543</v>
      </c>
      <c r="F197" s="323" t="s">
        <v>818</v>
      </c>
      <c r="G197" s="323" t="s">
        <v>537</v>
      </c>
      <c r="H197" s="294">
        <v>5599296.29</v>
      </c>
      <c r="I197" s="294">
        <v>0</v>
      </c>
      <c r="J197" s="294">
        <v>181171.69</v>
      </c>
      <c r="K197" s="294">
        <v>0</v>
      </c>
      <c r="L197" s="294">
        <v>247660</v>
      </c>
      <c r="M197" s="294">
        <v>856.93</v>
      </c>
      <c r="N197" s="294">
        <v>16007.2</v>
      </c>
      <c r="O197" s="294">
        <v>0</v>
      </c>
      <c r="P197" s="294">
        <v>6464.72</v>
      </c>
      <c r="Q197" s="294">
        <v>0</v>
      </c>
      <c r="R197" s="294">
        <v>0</v>
      </c>
      <c r="S197" s="294">
        <v>0</v>
      </c>
      <c r="T197" s="294">
        <v>20375.979999999996</v>
      </c>
      <c r="U197" s="294">
        <v>161241.72</v>
      </c>
      <c r="V197" s="294">
        <v>0</v>
      </c>
      <c r="W197" s="294">
        <v>25189.5</v>
      </c>
      <c r="X197" s="294">
        <v>0</v>
      </c>
      <c r="Y197" s="294">
        <v>6258264.0300000003</v>
      </c>
      <c r="Z197" s="294">
        <v>2791592</v>
      </c>
      <c r="AA197" s="294">
        <v>0</v>
      </c>
      <c r="AB197" s="294">
        <v>227557.98</v>
      </c>
      <c r="AC197" s="294">
        <v>0</v>
      </c>
      <c r="AD197" s="294">
        <v>910475.61</v>
      </c>
      <c r="AE197" s="294">
        <v>0</v>
      </c>
      <c r="AF197" s="294">
        <v>109937.18</v>
      </c>
      <c r="AG197" s="294">
        <v>47282.85</v>
      </c>
      <c r="AH197" s="294">
        <v>12627.02</v>
      </c>
      <c r="AI197" s="294">
        <v>0</v>
      </c>
      <c r="AJ197" s="294">
        <v>0</v>
      </c>
      <c r="AK197" s="294">
        <v>1516.48</v>
      </c>
      <c r="AL197" s="294">
        <v>1220.25</v>
      </c>
      <c r="AM197" s="294">
        <v>55.06</v>
      </c>
      <c r="AN197" s="294">
        <v>75003.58</v>
      </c>
      <c r="AO197" s="294">
        <v>125949.23</v>
      </c>
      <c r="AP197" s="294">
        <v>118188.96</v>
      </c>
      <c r="AQ197" s="294">
        <v>20265.47</v>
      </c>
      <c r="AR197" s="294">
        <v>88300.169999999984</v>
      </c>
      <c r="AS197" s="294">
        <v>0</v>
      </c>
      <c r="AT197" s="294">
        <v>-7363.8600000000006</v>
      </c>
      <c r="AU197" s="294">
        <v>74906.59</v>
      </c>
      <c r="AV197" s="294">
        <v>19754.829999999998</v>
      </c>
      <c r="AW197" s="294">
        <v>0</v>
      </c>
      <c r="AX197" s="294">
        <v>151848.07</v>
      </c>
      <c r="AY197" s="294">
        <v>113173.13</v>
      </c>
      <c r="AZ197" s="294">
        <v>71588.97</v>
      </c>
      <c r="BA197" s="294">
        <v>392491.26</v>
      </c>
      <c r="BB197" s="294">
        <v>323190</v>
      </c>
      <c r="BC197" s="294">
        <v>0</v>
      </c>
      <c r="BD197" s="294">
        <v>0</v>
      </c>
      <c r="BE197" s="294">
        <v>5669560.8299999991</v>
      </c>
      <c r="BF197" s="294">
        <v>991598.75</v>
      </c>
      <c r="BG197" s="294">
        <v>588703.20000000112</v>
      </c>
      <c r="BH197" s="294">
        <v>1580301.9500000011</v>
      </c>
      <c r="BI197" s="294">
        <v>15264.06</v>
      </c>
      <c r="BJ197" s="294">
        <v>0</v>
      </c>
      <c r="BK197" s="294">
        <v>0</v>
      </c>
      <c r="BL197" s="294">
        <v>15264.06</v>
      </c>
      <c r="BM197" s="294">
        <v>0</v>
      </c>
      <c r="BN197" s="294">
        <v>0</v>
      </c>
      <c r="BO197" s="294">
        <v>0</v>
      </c>
      <c r="BP197" s="294">
        <v>0</v>
      </c>
      <c r="BQ197" s="294">
        <v>0</v>
      </c>
      <c r="BR197" s="294">
        <v>60207.53</v>
      </c>
      <c r="BS197" s="294">
        <v>15264.06</v>
      </c>
      <c r="BT197" s="294">
        <v>75471.59</v>
      </c>
      <c r="BU197" s="294">
        <v>0</v>
      </c>
      <c r="BV197" s="294">
        <v>0</v>
      </c>
      <c r="BW197" s="294">
        <v>0</v>
      </c>
      <c r="BX197" s="294">
        <v>0</v>
      </c>
      <c r="BY197" s="294">
        <v>0</v>
      </c>
      <c r="BZ197" s="294">
        <v>0</v>
      </c>
      <c r="CA197" s="294">
        <v>0</v>
      </c>
      <c r="CB197" s="294">
        <v>0</v>
      </c>
      <c r="CC197" s="294">
        <v>0</v>
      </c>
      <c r="CD197" s="294">
        <v>1580301.9500000011</v>
      </c>
      <c r="CE197" s="294">
        <v>0</v>
      </c>
      <c r="CF197" s="294">
        <v>75471.59</v>
      </c>
      <c r="CG197" s="294">
        <v>0</v>
      </c>
      <c r="CH197" s="294">
        <v>0</v>
      </c>
      <c r="CI197" s="294">
        <f t="shared" si="2"/>
        <v>1655773.5400000012</v>
      </c>
      <c r="CJ197" s="294">
        <v>1590157.87</v>
      </c>
      <c r="CK197" s="294">
        <v>2090.5100000000002</v>
      </c>
      <c r="CL197" s="294">
        <v>3367.43</v>
      </c>
      <c r="CM197" s="294">
        <v>1591434.79</v>
      </c>
      <c r="CN197" s="294">
        <v>0</v>
      </c>
      <c r="CO197" s="294">
        <v>0</v>
      </c>
      <c r="CP197" s="294">
        <v>19516.87</v>
      </c>
      <c r="CQ197" s="294">
        <v>0</v>
      </c>
      <c r="CR197" s="294">
        <v>0</v>
      </c>
      <c r="CS197" s="294">
        <v>1610951.6600000001</v>
      </c>
      <c r="CT197" s="294">
        <v>0</v>
      </c>
      <c r="CU197" s="294">
        <v>0</v>
      </c>
      <c r="CV197" s="294">
        <v>0</v>
      </c>
      <c r="CW197" s="294">
        <v>0</v>
      </c>
      <c r="CX197" s="294"/>
      <c r="CY197" s="294"/>
      <c r="CZ197" s="294"/>
      <c r="DA197" s="294">
        <v>0</v>
      </c>
      <c r="DB197" s="294">
        <v>0</v>
      </c>
      <c r="DC197" s="294">
        <v>0</v>
      </c>
      <c r="DD197" s="294">
        <v>4097.1400000000003</v>
      </c>
      <c r="DE197" s="294">
        <v>130852.08</v>
      </c>
      <c r="DF197" s="294">
        <v>0</v>
      </c>
      <c r="DG197" s="294">
        <v>-24103.1</v>
      </c>
      <c r="DH197" s="294">
        <v>-3140.82</v>
      </c>
      <c r="DI197" s="294">
        <v>0</v>
      </c>
      <c r="DJ197" s="294">
        <v>-62883.42</v>
      </c>
      <c r="DK197" s="294">
        <v>44821.87999999999</v>
      </c>
      <c r="DL197" s="294">
        <v>0</v>
      </c>
      <c r="DM197" s="294">
        <v>0</v>
      </c>
      <c r="DN197" s="294">
        <v>0</v>
      </c>
      <c r="DO197" s="294">
        <v>0</v>
      </c>
      <c r="DP197" s="294">
        <v>0</v>
      </c>
      <c r="DQ197" s="324">
        <v>0</v>
      </c>
      <c r="DR197" s="295">
        <v>4086845.62</v>
      </c>
      <c r="DS197" s="325">
        <v>1582715.209999999</v>
      </c>
      <c r="DT197" s="295">
        <v>113173.13</v>
      </c>
      <c r="DU197" s="295">
        <v>26840.699999999997</v>
      </c>
      <c r="DV197" s="295">
        <v>161241.72</v>
      </c>
      <c r="DW197" s="295">
        <v>0</v>
      </c>
    </row>
    <row r="198" spans="1:127">
      <c r="A198" s="321">
        <v>2478</v>
      </c>
      <c r="B198" s="322" t="s">
        <v>389</v>
      </c>
      <c r="C198" s="321">
        <v>2478</v>
      </c>
      <c r="D198" s="323" t="s">
        <v>817</v>
      </c>
      <c r="E198" s="323" t="s">
        <v>539</v>
      </c>
      <c r="F198" s="323" t="s">
        <v>818</v>
      </c>
      <c r="G198" s="323" t="s">
        <v>537</v>
      </c>
      <c r="H198" s="294">
        <v>2258853.7799999998</v>
      </c>
      <c r="I198" s="294">
        <v>0</v>
      </c>
      <c r="J198" s="294">
        <v>14375.53</v>
      </c>
      <c r="K198" s="294">
        <v>0</v>
      </c>
      <c r="L198" s="294">
        <v>63170</v>
      </c>
      <c r="M198" s="294">
        <v>200</v>
      </c>
      <c r="N198" s="294">
        <v>318954.40999999997</v>
      </c>
      <c r="O198" s="294">
        <v>228269.11</v>
      </c>
      <c r="P198" s="294">
        <v>12533.06</v>
      </c>
      <c r="Q198" s="294">
        <v>0</v>
      </c>
      <c r="R198" s="294">
        <v>0</v>
      </c>
      <c r="S198" s="294">
        <v>0</v>
      </c>
      <c r="T198" s="294">
        <v>63083.77</v>
      </c>
      <c r="U198" s="294">
        <v>0</v>
      </c>
      <c r="V198" s="294">
        <v>0</v>
      </c>
      <c r="W198" s="294">
        <v>1005.83</v>
      </c>
      <c r="X198" s="294">
        <v>99553</v>
      </c>
      <c r="Y198" s="294">
        <v>3059998.4899999998</v>
      </c>
      <c r="Z198" s="294">
        <v>1185052.94</v>
      </c>
      <c r="AA198" s="294">
        <v>19453.25</v>
      </c>
      <c r="AB198" s="294">
        <v>282832.45</v>
      </c>
      <c r="AC198" s="294">
        <v>57927.55</v>
      </c>
      <c r="AD198" s="294">
        <v>182176.08</v>
      </c>
      <c r="AE198" s="294">
        <v>0</v>
      </c>
      <c r="AF198" s="294">
        <v>123462.17</v>
      </c>
      <c r="AG198" s="294">
        <v>1564.33</v>
      </c>
      <c r="AH198" s="294">
        <v>407.65</v>
      </c>
      <c r="AI198" s="294">
        <v>0</v>
      </c>
      <c r="AJ198" s="294">
        <v>0</v>
      </c>
      <c r="AK198" s="294">
        <v>63657.79</v>
      </c>
      <c r="AL198" s="294">
        <v>5514.78</v>
      </c>
      <c r="AM198" s="294">
        <v>55602.76</v>
      </c>
      <c r="AN198" s="294">
        <v>10651.29</v>
      </c>
      <c r="AO198" s="294">
        <v>89623.89</v>
      </c>
      <c r="AP198" s="294">
        <v>47099.58</v>
      </c>
      <c r="AQ198" s="294">
        <v>14129.630000000001</v>
      </c>
      <c r="AR198" s="294">
        <v>52822.939999999995</v>
      </c>
      <c r="AS198" s="294">
        <v>7631.93</v>
      </c>
      <c r="AT198" s="294">
        <v>0</v>
      </c>
      <c r="AU198" s="294">
        <v>43557.71</v>
      </c>
      <c r="AV198" s="294">
        <v>19362</v>
      </c>
      <c r="AW198" s="294">
        <v>0</v>
      </c>
      <c r="AX198" s="294">
        <v>72572.27</v>
      </c>
      <c r="AY198" s="294">
        <v>185677.92</v>
      </c>
      <c r="AZ198" s="294">
        <v>29663.200000000001</v>
      </c>
      <c r="BA198" s="294">
        <v>239729.36</v>
      </c>
      <c r="BB198" s="294">
        <v>0</v>
      </c>
      <c r="BC198" s="294">
        <v>0</v>
      </c>
      <c r="BD198" s="294">
        <v>0</v>
      </c>
      <c r="BE198" s="294">
        <v>2790173.4699999997</v>
      </c>
      <c r="BF198" s="294">
        <v>305774.75000000012</v>
      </c>
      <c r="BG198" s="294">
        <v>269825.02</v>
      </c>
      <c r="BH198" s="294">
        <v>575599.77000000014</v>
      </c>
      <c r="BI198" s="294">
        <v>4273.96</v>
      </c>
      <c r="BJ198" s="294">
        <v>0</v>
      </c>
      <c r="BK198" s="294">
        <v>0</v>
      </c>
      <c r="BL198" s="294">
        <v>4273.96</v>
      </c>
      <c r="BM198" s="294">
        <v>0</v>
      </c>
      <c r="BN198" s="294">
        <v>0</v>
      </c>
      <c r="BO198" s="294">
        <v>4273.96</v>
      </c>
      <c r="BP198" s="294">
        <v>0</v>
      </c>
      <c r="BQ198" s="294">
        <v>4273.96</v>
      </c>
      <c r="BR198" s="294">
        <v>4255.9600000000028</v>
      </c>
      <c r="BS198" s="294">
        <v>0</v>
      </c>
      <c r="BT198" s="294">
        <v>4255.9600000000028</v>
      </c>
      <c r="BU198" s="294">
        <v>0</v>
      </c>
      <c r="BV198" s="294">
        <v>0</v>
      </c>
      <c r="BW198" s="294">
        <v>0</v>
      </c>
      <c r="BX198" s="294">
        <v>0</v>
      </c>
      <c r="BY198" s="294">
        <v>0</v>
      </c>
      <c r="BZ198" s="294">
        <v>0</v>
      </c>
      <c r="CA198" s="294">
        <v>0</v>
      </c>
      <c r="CB198" s="294">
        <v>0</v>
      </c>
      <c r="CC198" s="294">
        <v>0</v>
      </c>
      <c r="CD198" s="294">
        <v>575599.77000000014</v>
      </c>
      <c r="CE198" s="294">
        <v>0</v>
      </c>
      <c r="CF198" s="294">
        <v>4255.9600000000028</v>
      </c>
      <c r="CG198" s="294">
        <v>0</v>
      </c>
      <c r="CH198" s="294">
        <v>0</v>
      </c>
      <c r="CI198" s="294">
        <f t="shared" si="2"/>
        <v>579855.7300000001</v>
      </c>
      <c r="CJ198" s="294">
        <v>100000</v>
      </c>
      <c r="CK198" s="294">
        <v>149893.71</v>
      </c>
      <c r="CL198" s="294">
        <v>216.6</v>
      </c>
      <c r="CM198" s="294">
        <v>-49677.109999999993</v>
      </c>
      <c r="CN198" s="294">
        <v>0</v>
      </c>
      <c r="CO198" s="294">
        <v>0</v>
      </c>
      <c r="CP198" s="294">
        <v>13607.41</v>
      </c>
      <c r="CQ198" s="294">
        <v>0</v>
      </c>
      <c r="CR198" s="294">
        <v>1208</v>
      </c>
      <c r="CS198" s="294">
        <v>-34861.699999999997</v>
      </c>
      <c r="CT198" s="294">
        <v>565368.44999999995</v>
      </c>
      <c r="CU198" s="294">
        <v>0</v>
      </c>
      <c r="CV198" s="294">
        <v>0</v>
      </c>
      <c r="CW198" s="294">
        <v>565368.44999999995</v>
      </c>
      <c r="CX198" s="294"/>
      <c r="CY198" s="294"/>
      <c r="CZ198" s="294"/>
      <c r="DA198" s="294">
        <v>0</v>
      </c>
      <c r="DB198" s="294">
        <v>565368.44999999995</v>
      </c>
      <c r="DC198" s="294">
        <v>5331.66</v>
      </c>
      <c r="DD198" s="294">
        <v>9724.73</v>
      </c>
      <c r="DE198" s="294">
        <v>0</v>
      </c>
      <c r="DF198" s="294">
        <v>0</v>
      </c>
      <c r="DG198" s="294">
        <v>-51126.06</v>
      </c>
      <c r="DH198" s="294">
        <v>-69621.7</v>
      </c>
      <c r="DI198" s="294">
        <v>0</v>
      </c>
      <c r="DJ198" s="294">
        <v>0</v>
      </c>
      <c r="DK198" s="294">
        <v>-105691.37</v>
      </c>
      <c r="DL198" s="294">
        <v>0</v>
      </c>
      <c r="DM198" s="294">
        <v>0</v>
      </c>
      <c r="DN198" s="294">
        <v>0</v>
      </c>
      <c r="DO198" s="294">
        <v>0</v>
      </c>
      <c r="DP198" s="294">
        <v>155040.82999999999</v>
      </c>
      <c r="DQ198" s="324">
        <v>-0.47999999998137355</v>
      </c>
      <c r="DR198" s="295">
        <v>1852468.77</v>
      </c>
      <c r="DS198" s="325">
        <v>937704.69999999972</v>
      </c>
      <c r="DT198" s="295">
        <v>185677.92</v>
      </c>
      <c r="DU198" s="295">
        <v>303885.94</v>
      </c>
      <c r="DV198" s="295">
        <v>0</v>
      </c>
      <c r="DW198" s="295">
        <v>155040.82999999999</v>
      </c>
    </row>
    <row r="199" spans="1:127">
      <c r="A199" s="321">
        <v>2293</v>
      </c>
      <c r="B199" s="322" t="s">
        <v>386</v>
      </c>
      <c r="C199" s="321">
        <v>2293</v>
      </c>
      <c r="D199" s="323" t="s">
        <v>817</v>
      </c>
      <c r="E199" s="323" t="s">
        <v>539</v>
      </c>
      <c r="F199" s="323" t="s">
        <v>818</v>
      </c>
      <c r="G199" s="323" t="s">
        <v>537</v>
      </c>
      <c r="H199" s="294">
        <v>3527738.87</v>
      </c>
      <c r="I199" s="294">
        <v>0</v>
      </c>
      <c r="J199" s="294">
        <v>48477.02</v>
      </c>
      <c r="K199" s="294">
        <v>0</v>
      </c>
      <c r="L199" s="294">
        <v>345180</v>
      </c>
      <c r="M199" s="294">
        <v>5000</v>
      </c>
      <c r="N199" s="294">
        <v>0</v>
      </c>
      <c r="O199" s="294">
        <v>0</v>
      </c>
      <c r="P199" s="294">
        <v>109.24</v>
      </c>
      <c r="Q199" s="294">
        <v>0</v>
      </c>
      <c r="R199" s="294">
        <v>0</v>
      </c>
      <c r="S199" s="294">
        <v>0</v>
      </c>
      <c r="T199" s="294">
        <v>0</v>
      </c>
      <c r="U199" s="294">
        <v>157213.97</v>
      </c>
      <c r="V199" s="294">
        <v>0</v>
      </c>
      <c r="W199" s="294">
        <v>14846.88</v>
      </c>
      <c r="X199" s="294">
        <v>90586</v>
      </c>
      <c r="Y199" s="294">
        <v>4189151.9800000004</v>
      </c>
      <c r="Z199" s="294">
        <v>1746781.16</v>
      </c>
      <c r="AA199" s="294">
        <v>0</v>
      </c>
      <c r="AB199" s="294">
        <v>526800.54</v>
      </c>
      <c r="AC199" s="294">
        <v>173416.59</v>
      </c>
      <c r="AD199" s="294">
        <v>240615.94</v>
      </c>
      <c r="AE199" s="294">
        <v>138424.09</v>
      </c>
      <c r="AF199" s="294">
        <v>143719.84</v>
      </c>
      <c r="AG199" s="294">
        <v>0</v>
      </c>
      <c r="AH199" s="294">
        <v>7051.18</v>
      </c>
      <c r="AI199" s="294">
        <v>0</v>
      </c>
      <c r="AJ199" s="294">
        <v>0</v>
      </c>
      <c r="AK199" s="294">
        <v>30092.38</v>
      </c>
      <c r="AL199" s="294">
        <v>2518.7600000000002</v>
      </c>
      <c r="AM199" s="294">
        <v>940.52</v>
      </c>
      <c r="AN199" s="294">
        <v>7156.8</v>
      </c>
      <c r="AO199" s="294">
        <v>78501.440000000002</v>
      </c>
      <c r="AP199" s="294">
        <v>41074.75</v>
      </c>
      <c r="AQ199" s="294">
        <v>20223.66</v>
      </c>
      <c r="AR199" s="294">
        <v>151337.29999999999</v>
      </c>
      <c r="AS199" s="294">
        <v>8965.82</v>
      </c>
      <c r="AT199" s="294">
        <v>0</v>
      </c>
      <c r="AU199" s="294">
        <v>104825.94</v>
      </c>
      <c r="AV199" s="294">
        <v>12566.4</v>
      </c>
      <c r="AW199" s="294">
        <v>4299.05</v>
      </c>
      <c r="AX199" s="294">
        <v>109174.21</v>
      </c>
      <c r="AY199" s="294">
        <v>309285.17</v>
      </c>
      <c r="AZ199" s="294">
        <v>85982.33</v>
      </c>
      <c r="BA199" s="294">
        <v>215223.89</v>
      </c>
      <c r="BB199" s="294">
        <v>0</v>
      </c>
      <c r="BC199" s="294">
        <v>0</v>
      </c>
      <c r="BD199" s="294">
        <v>0</v>
      </c>
      <c r="BE199" s="294">
        <v>4158977.7599999988</v>
      </c>
      <c r="BF199" s="294">
        <v>1003300.02</v>
      </c>
      <c r="BG199" s="294">
        <v>30174.220000001602</v>
      </c>
      <c r="BH199" s="294">
        <v>1033474.2400000016</v>
      </c>
      <c r="BI199" s="294">
        <v>10914.25</v>
      </c>
      <c r="BJ199" s="294">
        <v>0</v>
      </c>
      <c r="BK199" s="294">
        <v>0</v>
      </c>
      <c r="BL199" s="294">
        <v>10914.25</v>
      </c>
      <c r="BM199" s="294">
        <v>0</v>
      </c>
      <c r="BN199" s="294">
        <v>122504.7</v>
      </c>
      <c r="BO199" s="294">
        <v>0</v>
      </c>
      <c r="BP199" s="294">
        <v>0</v>
      </c>
      <c r="BQ199" s="294">
        <v>122504.7</v>
      </c>
      <c r="BR199" s="294">
        <v>194118.39999999999</v>
      </c>
      <c r="BS199" s="294">
        <v>-111590.45</v>
      </c>
      <c r="BT199" s="294">
        <v>82527.95</v>
      </c>
      <c r="BU199" s="294">
        <v>0</v>
      </c>
      <c r="BV199" s="294">
        <v>0</v>
      </c>
      <c r="BW199" s="294">
        <v>0</v>
      </c>
      <c r="BX199" s="294">
        <v>0</v>
      </c>
      <c r="BY199" s="294">
        <v>0</v>
      </c>
      <c r="BZ199" s="294">
        <v>0</v>
      </c>
      <c r="CA199" s="294">
        <v>0</v>
      </c>
      <c r="CB199" s="294">
        <v>0</v>
      </c>
      <c r="CC199" s="294">
        <v>0</v>
      </c>
      <c r="CD199" s="294">
        <v>1033474.2400000016</v>
      </c>
      <c r="CE199" s="294">
        <v>0</v>
      </c>
      <c r="CF199" s="294">
        <v>82527.95</v>
      </c>
      <c r="CG199" s="294">
        <v>0</v>
      </c>
      <c r="CH199" s="294">
        <v>0</v>
      </c>
      <c r="CI199" s="294">
        <f t="shared" si="2"/>
        <v>1116002.1900000016</v>
      </c>
      <c r="CJ199" s="294">
        <v>1062587.43</v>
      </c>
      <c r="CK199" s="294">
        <v>51849.98</v>
      </c>
      <c r="CL199" s="294">
        <v>1751.61</v>
      </c>
      <c r="CM199" s="294">
        <v>1012489.0599999999</v>
      </c>
      <c r="CN199" s="294">
        <v>0</v>
      </c>
      <c r="CO199" s="294">
        <v>0</v>
      </c>
      <c r="CP199" s="294">
        <v>10350</v>
      </c>
      <c r="CQ199" s="294">
        <v>102871.83</v>
      </c>
      <c r="CR199" s="294">
        <v>0</v>
      </c>
      <c r="CS199" s="294">
        <v>1125710.8899999999</v>
      </c>
      <c r="CT199" s="294">
        <v>0</v>
      </c>
      <c r="CU199" s="294">
        <v>0</v>
      </c>
      <c r="CV199" s="294">
        <v>0</v>
      </c>
      <c r="CW199" s="294">
        <v>0</v>
      </c>
      <c r="CX199" s="294"/>
      <c r="CY199" s="294"/>
      <c r="CZ199" s="294"/>
      <c r="DA199" s="294">
        <v>0</v>
      </c>
      <c r="DB199" s="294">
        <v>0</v>
      </c>
      <c r="DC199" s="294">
        <v>0</v>
      </c>
      <c r="DD199" s="294">
        <v>0</v>
      </c>
      <c r="DE199" s="294">
        <v>0</v>
      </c>
      <c r="DF199" s="294">
        <v>0</v>
      </c>
      <c r="DG199" s="294">
        <v>0</v>
      </c>
      <c r="DH199" s="294">
        <v>-11171.11</v>
      </c>
      <c r="DI199" s="294">
        <v>0</v>
      </c>
      <c r="DJ199" s="294">
        <v>0</v>
      </c>
      <c r="DK199" s="294">
        <v>-11171.11</v>
      </c>
      <c r="DL199" s="294">
        <v>0</v>
      </c>
      <c r="DM199" s="294">
        <v>0</v>
      </c>
      <c r="DN199" s="294">
        <v>0</v>
      </c>
      <c r="DO199" s="294">
        <v>1462.31</v>
      </c>
      <c r="DP199" s="294">
        <v>0</v>
      </c>
      <c r="DQ199" s="324">
        <v>0.10000000009313226</v>
      </c>
      <c r="DR199" s="295">
        <v>2969758.1599999997</v>
      </c>
      <c r="DS199" s="325">
        <v>1189219.5999999992</v>
      </c>
      <c r="DT199" s="295">
        <v>309285.17</v>
      </c>
      <c r="DU199" s="295">
        <v>109.24</v>
      </c>
      <c r="DV199" s="295">
        <v>157213.97</v>
      </c>
      <c r="DW199" s="295">
        <v>1462.31</v>
      </c>
    </row>
    <row r="200" spans="1:127">
      <c r="A200" s="321">
        <v>2445</v>
      </c>
      <c r="B200" s="322" t="s">
        <v>525</v>
      </c>
      <c r="C200" s="321">
        <v>2445</v>
      </c>
      <c r="D200" s="323" t="s">
        <v>817</v>
      </c>
      <c r="E200" s="323" t="s">
        <v>539</v>
      </c>
      <c r="F200" s="323" t="s">
        <v>818</v>
      </c>
      <c r="G200" s="323" t="s">
        <v>799</v>
      </c>
      <c r="H200" s="294">
        <v>1352656.56</v>
      </c>
      <c r="I200" s="294">
        <v>0</v>
      </c>
      <c r="J200" s="294">
        <v>83626.37</v>
      </c>
      <c r="K200" s="294">
        <v>0</v>
      </c>
      <c r="L200" s="294">
        <v>213120</v>
      </c>
      <c r="M200" s="294">
        <v>0</v>
      </c>
      <c r="N200" s="294">
        <v>0</v>
      </c>
      <c r="O200" s="294">
        <v>0</v>
      </c>
      <c r="P200" s="294">
        <v>38366.23000000001</v>
      </c>
      <c r="Q200" s="294">
        <v>17559.78</v>
      </c>
      <c r="R200" s="294">
        <v>0</v>
      </c>
      <c r="S200" s="294">
        <v>0</v>
      </c>
      <c r="T200" s="294">
        <v>8559.2799999999988</v>
      </c>
      <c r="U200" s="294">
        <v>0</v>
      </c>
      <c r="V200" s="294">
        <v>0</v>
      </c>
      <c r="W200" s="294">
        <v>11850</v>
      </c>
      <c r="X200" s="294">
        <v>32187</v>
      </c>
      <c r="Y200" s="294">
        <v>1757925.2200000002</v>
      </c>
      <c r="Z200" s="294">
        <v>633135.87000000046</v>
      </c>
      <c r="AA200" s="294">
        <v>-162.34</v>
      </c>
      <c r="AB200" s="294">
        <v>379155.44</v>
      </c>
      <c r="AC200" s="294">
        <v>64982.96000000037</v>
      </c>
      <c r="AD200" s="294">
        <v>108501.18999999999</v>
      </c>
      <c r="AE200" s="294">
        <v>0</v>
      </c>
      <c r="AF200" s="294">
        <v>81236.049999999988</v>
      </c>
      <c r="AG200" s="294">
        <v>372.99999999999818</v>
      </c>
      <c r="AH200" s="294">
        <v>2785</v>
      </c>
      <c r="AI200" s="294">
        <v>0</v>
      </c>
      <c r="AJ200" s="294">
        <v>130</v>
      </c>
      <c r="AK200" s="294">
        <v>5734.9999999999982</v>
      </c>
      <c r="AL200" s="294">
        <v>5675</v>
      </c>
      <c r="AM200" s="294">
        <v>4922</v>
      </c>
      <c r="AN200" s="294">
        <v>11133</v>
      </c>
      <c r="AO200" s="294">
        <v>59961.999999999993</v>
      </c>
      <c r="AP200" s="294">
        <v>24535.64</v>
      </c>
      <c r="AQ200" s="294">
        <v>12659</v>
      </c>
      <c r="AR200" s="294">
        <v>69344.600000000006</v>
      </c>
      <c r="AS200" s="294">
        <v>38619</v>
      </c>
      <c r="AT200" s="294">
        <v>0</v>
      </c>
      <c r="AU200" s="294">
        <v>10920.000000000007</v>
      </c>
      <c r="AV200" s="294">
        <v>5139.75</v>
      </c>
      <c r="AW200" s="294">
        <v>3525</v>
      </c>
      <c r="AX200" s="294">
        <v>98317.63</v>
      </c>
      <c r="AY200" s="294">
        <v>60693.389999999978</v>
      </c>
      <c r="AZ200" s="294">
        <v>31868.93</v>
      </c>
      <c r="BA200" s="294">
        <v>18753</v>
      </c>
      <c r="BB200" s="294">
        <v>0</v>
      </c>
      <c r="BC200" s="294">
        <v>0</v>
      </c>
      <c r="BD200" s="294">
        <v>0</v>
      </c>
      <c r="BE200" s="294">
        <v>1731940.1100000008</v>
      </c>
      <c r="BF200" s="294">
        <v>-2464.4900000002513</v>
      </c>
      <c r="BG200" s="294">
        <v>25985.109999999404</v>
      </c>
      <c r="BH200" s="294">
        <v>23520.619999999151</v>
      </c>
      <c r="BI200" s="294">
        <v>6193.75</v>
      </c>
      <c r="BJ200" s="294">
        <v>0</v>
      </c>
      <c r="BK200" s="294">
        <v>0</v>
      </c>
      <c r="BL200" s="294">
        <v>6193.75</v>
      </c>
      <c r="BM200" s="294">
        <v>0</v>
      </c>
      <c r="BN200" s="294">
        <v>6790</v>
      </c>
      <c r="BO200" s="294">
        <v>0</v>
      </c>
      <c r="BP200" s="294">
        <v>0</v>
      </c>
      <c r="BQ200" s="294">
        <v>6790</v>
      </c>
      <c r="BR200" s="294">
        <v>14114.849999999999</v>
      </c>
      <c r="BS200" s="294">
        <v>-596.25</v>
      </c>
      <c r="BT200" s="294">
        <v>13518.599999999999</v>
      </c>
      <c r="BU200" s="294">
        <v>0</v>
      </c>
      <c r="BV200" s="294">
        <v>0</v>
      </c>
      <c r="BW200" s="294">
        <v>0</v>
      </c>
      <c r="BX200" s="294">
        <v>0</v>
      </c>
      <c r="BY200" s="294">
        <v>0</v>
      </c>
      <c r="BZ200" s="294">
        <v>0</v>
      </c>
      <c r="CA200" s="294">
        <v>0</v>
      </c>
      <c r="CB200" s="294">
        <v>0</v>
      </c>
      <c r="CC200" s="294">
        <v>0</v>
      </c>
      <c r="CD200" s="294">
        <v>23520.619999999151</v>
      </c>
      <c r="CE200" s="294">
        <v>0</v>
      </c>
      <c r="CF200" s="294">
        <v>13518.599999999999</v>
      </c>
      <c r="CG200" s="294">
        <v>0</v>
      </c>
      <c r="CH200" s="294">
        <v>0</v>
      </c>
      <c r="CI200" s="294">
        <f t="shared" si="2"/>
        <v>37039.21999999915</v>
      </c>
      <c r="CJ200" s="294">
        <v>0</v>
      </c>
      <c r="CK200" s="294">
        <v>0</v>
      </c>
      <c r="CL200" s="294">
        <v>0</v>
      </c>
      <c r="CM200" s="294">
        <v>0</v>
      </c>
      <c r="CN200" s="294">
        <v>0</v>
      </c>
      <c r="CO200" s="294">
        <v>0</v>
      </c>
      <c r="CP200" s="294">
        <v>0</v>
      </c>
      <c r="CQ200" s="294">
        <v>0</v>
      </c>
      <c r="CR200" s="294">
        <v>0</v>
      </c>
      <c r="CS200" s="294">
        <v>0</v>
      </c>
      <c r="CT200" s="294">
        <v>0</v>
      </c>
      <c r="CU200" s="294">
        <v>0</v>
      </c>
      <c r="CV200" s="294">
        <v>0</v>
      </c>
      <c r="CW200" s="294">
        <v>0</v>
      </c>
      <c r="CX200" s="294"/>
      <c r="CY200" s="294"/>
      <c r="CZ200" s="294"/>
      <c r="DA200" s="294">
        <v>66755.939999999275</v>
      </c>
      <c r="DB200" s="294">
        <v>66755.939999999275</v>
      </c>
      <c r="DC200" s="294">
        <v>0</v>
      </c>
      <c r="DD200" s="294">
        <v>129.91</v>
      </c>
      <c r="DE200" s="294">
        <v>0</v>
      </c>
      <c r="DF200" s="294">
        <v>0</v>
      </c>
      <c r="DG200" s="294">
        <v>0</v>
      </c>
      <c r="DH200" s="294">
        <v>-29846.63</v>
      </c>
      <c r="DI200" s="294">
        <v>0</v>
      </c>
      <c r="DJ200" s="294">
        <v>0</v>
      </c>
      <c r="DK200" s="294">
        <v>-29716.720000000001</v>
      </c>
      <c r="DL200" s="294">
        <v>0</v>
      </c>
      <c r="DM200" s="294">
        <v>0</v>
      </c>
      <c r="DN200" s="294">
        <v>0</v>
      </c>
      <c r="DO200" s="294">
        <v>0</v>
      </c>
      <c r="DP200" s="294">
        <v>0</v>
      </c>
      <c r="DQ200" s="324">
        <v>7.2759576141834259E-10</v>
      </c>
      <c r="DR200" s="295">
        <v>1267222.1700000009</v>
      </c>
      <c r="DS200" s="325">
        <v>464717.93999999994</v>
      </c>
      <c r="DT200" s="295">
        <v>60693.389999999978</v>
      </c>
      <c r="DU200" s="295">
        <v>64485.290000000008</v>
      </c>
      <c r="DV200" s="295">
        <v>0</v>
      </c>
      <c r="DW200" s="295">
        <v>0</v>
      </c>
    </row>
    <row r="201" spans="1:127">
      <c r="A201" s="321">
        <v>2278</v>
      </c>
      <c r="B201" s="322" t="s">
        <v>526</v>
      </c>
      <c r="C201" s="321">
        <v>2278</v>
      </c>
      <c r="D201" s="323" t="s">
        <v>817</v>
      </c>
      <c r="E201" s="323" t="s">
        <v>539</v>
      </c>
      <c r="F201" s="323" t="s">
        <v>818</v>
      </c>
      <c r="G201" s="323" t="s">
        <v>537</v>
      </c>
      <c r="H201" s="294">
        <v>2459656.35</v>
      </c>
      <c r="I201" s="294">
        <v>0</v>
      </c>
      <c r="J201" s="294">
        <v>261614.39</v>
      </c>
      <c r="K201" s="294">
        <v>0</v>
      </c>
      <c r="L201" s="294">
        <v>360060</v>
      </c>
      <c r="M201" s="294">
        <v>1256.93</v>
      </c>
      <c r="N201" s="294">
        <v>0</v>
      </c>
      <c r="O201" s="294">
        <v>2796.25</v>
      </c>
      <c r="P201" s="294">
        <v>18131.18</v>
      </c>
      <c r="Q201" s="294">
        <v>0</v>
      </c>
      <c r="R201" s="294">
        <v>0</v>
      </c>
      <c r="S201" s="294">
        <v>0</v>
      </c>
      <c r="T201" s="294">
        <v>13800.4</v>
      </c>
      <c r="U201" s="294">
        <v>20556.28</v>
      </c>
      <c r="V201" s="294">
        <v>0</v>
      </c>
      <c r="W201" s="294">
        <v>5884.38</v>
      </c>
      <c r="X201" s="294">
        <v>45635</v>
      </c>
      <c r="Y201" s="294">
        <v>3189391.16</v>
      </c>
      <c r="Z201" s="294">
        <v>1394428.3100000003</v>
      </c>
      <c r="AA201" s="294">
        <v>-585</v>
      </c>
      <c r="AB201" s="294">
        <v>676968.34</v>
      </c>
      <c r="AC201" s="294">
        <v>84011.540000000095</v>
      </c>
      <c r="AD201" s="294">
        <v>147993.81</v>
      </c>
      <c r="AE201" s="294">
        <v>0</v>
      </c>
      <c r="AF201" s="294">
        <v>73728.979999999399</v>
      </c>
      <c r="AG201" s="294">
        <v>12324.910000000029</v>
      </c>
      <c r="AH201" s="294">
        <v>0</v>
      </c>
      <c r="AI201" s="294">
        <v>0</v>
      </c>
      <c r="AJ201" s="294">
        <v>0</v>
      </c>
      <c r="AK201" s="294">
        <v>51800.61</v>
      </c>
      <c r="AL201" s="294">
        <v>0</v>
      </c>
      <c r="AM201" s="294">
        <v>2516.84</v>
      </c>
      <c r="AN201" s="294">
        <v>2990.44</v>
      </c>
      <c r="AO201" s="294">
        <v>70505.24000000002</v>
      </c>
      <c r="AP201" s="294">
        <v>24535.64</v>
      </c>
      <c r="AQ201" s="294">
        <v>5579.37</v>
      </c>
      <c r="AR201" s="294">
        <v>53927.48000000001</v>
      </c>
      <c r="AS201" s="294">
        <v>0</v>
      </c>
      <c r="AT201" s="294">
        <v>0</v>
      </c>
      <c r="AU201" s="294">
        <v>52015.1</v>
      </c>
      <c r="AV201" s="294">
        <v>9471</v>
      </c>
      <c r="AW201" s="294">
        <v>2530</v>
      </c>
      <c r="AX201" s="294">
        <v>174614.53</v>
      </c>
      <c r="AY201" s="294">
        <v>34350.120000000003</v>
      </c>
      <c r="AZ201" s="294">
        <v>10128.280000000001</v>
      </c>
      <c r="BA201" s="294">
        <v>177655.84</v>
      </c>
      <c r="BB201" s="294">
        <v>0</v>
      </c>
      <c r="BC201" s="294">
        <v>0</v>
      </c>
      <c r="BD201" s="294">
        <v>0</v>
      </c>
      <c r="BE201" s="294">
        <v>3061491.38</v>
      </c>
      <c r="BF201" s="294">
        <v>384182.56999999995</v>
      </c>
      <c r="BG201" s="294">
        <v>127899.78000000026</v>
      </c>
      <c r="BH201" s="294">
        <v>512082.35000000021</v>
      </c>
      <c r="BI201" s="294">
        <v>8545</v>
      </c>
      <c r="BJ201" s="294">
        <v>0</v>
      </c>
      <c r="BK201" s="294">
        <v>0</v>
      </c>
      <c r="BL201" s="294">
        <v>8545</v>
      </c>
      <c r="BM201" s="294">
        <v>0</v>
      </c>
      <c r="BN201" s="294">
        <v>0</v>
      </c>
      <c r="BO201" s="294">
        <v>0</v>
      </c>
      <c r="BP201" s="294">
        <v>0</v>
      </c>
      <c r="BQ201" s="294">
        <v>0</v>
      </c>
      <c r="BR201" s="294">
        <v>19492.59</v>
      </c>
      <c r="BS201" s="294">
        <v>8545</v>
      </c>
      <c r="BT201" s="294">
        <v>28037.59</v>
      </c>
      <c r="BU201" s="294">
        <v>0</v>
      </c>
      <c r="BV201" s="294">
        <v>0</v>
      </c>
      <c r="BW201" s="294">
        <v>0</v>
      </c>
      <c r="BX201" s="294">
        <v>0</v>
      </c>
      <c r="BY201" s="294">
        <v>0</v>
      </c>
      <c r="BZ201" s="294">
        <v>0</v>
      </c>
      <c r="CA201" s="294">
        <v>0</v>
      </c>
      <c r="CB201" s="294">
        <v>0</v>
      </c>
      <c r="CC201" s="294">
        <v>0</v>
      </c>
      <c r="CD201" s="294">
        <v>512082.35000000021</v>
      </c>
      <c r="CE201" s="294">
        <v>0</v>
      </c>
      <c r="CF201" s="294">
        <v>28037.59</v>
      </c>
      <c r="CG201" s="294">
        <v>0</v>
      </c>
      <c r="CH201" s="294">
        <v>0</v>
      </c>
      <c r="CI201" s="294">
        <f t="shared" si="2"/>
        <v>540119.94000000018</v>
      </c>
      <c r="CJ201" s="294">
        <v>1034407.63</v>
      </c>
      <c r="CK201" s="294">
        <v>35651.040000000001</v>
      </c>
      <c r="CL201" s="294">
        <v>0</v>
      </c>
      <c r="CM201" s="294">
        <v>998756.59</v>
      </c>
      <c r="CN201" s="294">
        <v>0</v>
      </c>
      <c r="CO201" s="294">
        <v>0</v>
      </c>
      <c r="CP201" s="294">
        <v>0</v>
      </c>
      <c r="CQ201" s="294">
        <v>0</v>
      </c>
      <c r="CR201" s="294">
        <v>-430178.39999999997</v>
      </c>
      <c r="CS201" s="294">
        <v>568578.18999999994</v>
      </c>
      <c r="CT201" s="294">
        <v>0</v>
      </c>
      <c r="CU201" s="294">
        <v>0</v>
      </c>
      <c r="CV201" s="294">
        <v>0</v>
      </c>
      <c r="CW201" s="294">
        <v>0</v>
      </c>
      <c r="CX201" s="294"/>
      <c r="CY201" s="294"/>
      <c r="CZ201" s="294"/>
      <c r="DA201" s="294">
        <v>0</v>
      </c>
      <c r="DB201" s="294">
        <v>0</v>
      </c>
      <c r="DC201" s="294">
        <v>0</v>
      </c>
      <c r="DD201" s="294">
        <v>11375.55</v>
      </c>
      <c r="DE201" s="294">
        <v>0</v>
      </c>
      <c r="DF201" s="294">
        <v>0</v>
      </c>
      <c r="DG201" s="294">
        <v>0</v>
      </c>
      <c r="DH201" s="294">
        <v>-43930.35</v>
      </c>
      <c r="DI201" s="294">
        <v>0</v>
      </c>
      <c r="DJ201" s="294">
        <v>0</v>
      </c>
      <c r="DK201" s="294">
        <v>-32554.799999999999</v>
      </c>
      <c r="DL201" s="294">
        <v>4096.55</v>
      </c>
      <c r="DM201" s="294">
        <v>0</v>
      </c>
      <c r="DN201" s="294">
        <v>0</v>
      </c>
      <c r="DO201" s="294">
        <v>0</v>
      </c>
      <c r="DP201" s="294">
        <v>0</v>
      </c>
      <c r="DQ201" s="324">
        <v>0</v>
      </c>
      <c r="DR201" s="295">
        <v>2388870.89</v>
      </c>
      <c r="DS201" s="325">
        <v>672620.48999999976</v>
      </c>
      <c r="DT201" s="295">
        <v>34350.120000000003</v>
      </c>
      <c r="DU201" s="295">
        <v>34727.83</v>
      </c>
      <c r="DV201" s="295">
        <v>20556.28</v>
      </c>
      <c r="DW201" s="295">
        <v>4096.55</v>
      </c>
    </row>
    <row r="202" spans="1:127">
      <c r="A202" s="321">
        <v>2314</v>
      </c>
      <c r="B202" s="322" t="s">
        <v>477</v>
      </c>
      <c r="C202" s="321">
        <v>2314</v>
      </c>
      <c r="D202" s="323" t="s">
        <v>817</v>
      </c>
      <c r="E202" s="323" t="s">
        <v>539</v>
      </c>
      <c r="F202" s="323" t="s">
        <v>818</v>
      </c>
      <c r="G202" s="323" t="s">
        <v>537</v>
      </c>
      <c r="H202" s="294">
        <v>1151233.5</v>
      </c>
      <c r="I202" s="294">
        <v>0</v>
      </c>
      <c r="J202" s="294">
        <v>44188</v>
      </c>
      <c r="K202" s="294">
        <v>0</v>
      </c>
      <c r="L202" s="294">
        <v>75330</v>
      </c>
      <c r="M202" s="294">
        <v>0</v>
      </c>
      <c r="N202" s="294">
        <v>0</v>
      </c>
      <c r="O202" s="294">
        <v>17387.5</v>
      </c>
      <c r="P202" s="294">
        <v>28726.869999999995</v>
      </c>
      <c r="Q202" s="294">
        <v>0</v>
      </c>
      <c r="R202" s="294">
        <v>0</v>
      </c>
      <c r="S202" s="294">
        <v>0</v>
      </c>
      <c r="T202" s="294">
        <v>26688.65</v>
      </c>
      <c r="U202" s="294">
        <v>47197.9</v>
      </c>
      <c r="V202" s="294">
        <v>0</v>
      </c>
      <c r="W202" s="294">
        <v>4089.17</v>
      </c>
      <c r="X202" s="294">
        <v>49441</v>
      </c>
      <c r="Y202" s="294">
        <v>1444282.5899999999</v>
      </c>
      <c r="Z202" s="294">
        <v>676322.20000000065</v>
      </c>
      <c r="AA202" s="294">
        <v>5532.96</v>
      </c>
      <c r="AB202" s="294">
        <v>282944.84000000003</v>
      </c>
      <c r="AC202" s="294">
        <v>50086.750000000175</v>
      </c>
      <c r="AD202" s="294">
        <v>75163.710000000006</v>
      </c>
      <c r="AE202" s="294">
        <v>0</v>
      </c>
      <c r="AF202" s="294">
        <v>38987.749999999971</v>
      </c>
      <c r="AG202" s="294">
        <v>15682.290000000017</v>
      </c>
      <c r="AH202" s="294">
        <v>5528</v>
      </c>
      <c r="AI202" s="294">
        <v>0</v>
      </c>
      <c r="AJ202" s="294">
        <v>0</v>
      </c>
      <c r="AK202" s="294">
        <v>4527.47</v>
      </c>
      <c r="AL202" s="294">
        <v>1268.0600000000002</v>
      </c>
      <c r="AM202" s="294">
        <v>1582.4</v>
      </c>
      <c r="AN202" s="294">
        <v>4890.6499999999996</v>
      </c>
      <c r="AO202" s="294">
        <v>23673.62999999999</v>
      </c>
      <c r="AP202" s="294">
        <v>18595.43</v>
      </c>
      <c r="AQ202" s="294">
        <v>3597.8299999999949</v>
      </c>
      <c r="AR202" s="294">
        <v>39742.869999999995</v>
      </c>
      <c r="AS202" s="294">
        <v>0</v>
      </c>
      <c r="AT202" s="294">
        <v>0</v>
      </c>
      <c r="AU202" s="294">
        <v>12654.370000000012</v>
      </c>
      <c r="AV202" s="294">
        <v>5139.75</v>
      </c>
      <c r="AW202" s="294">
        <v>3616.2</v>
      </c>
      <c r="AX202" s="294">
        <v>45065.83</v>
      </c>
      <c r="AY202" s="294">
        <v>99286.409999999945</v>
      </c>
      <c r="AZ202" s="294">
        <v>20240.29</v>
      </c>
      <c r="BA202" s="294">
        <v>88374.32</v>
      </c>
      <c r="BB202" s="294">
        <v>0</v>
      </c>
      <c r="BC202" s="294">
        <v>0</v>
      </c>
      <c r="BD202" s="294">
        <v>0</v>
      </c>
      <c r="BE202" s="294">
        <v>1522504.0100000009</v>
      </c>
      <c r="BF202" s="294">
        <v>134916.88999999981</v>
      </c>
      <c r="BG202" s="294">
        <v>-78221.42000000109</v>
      </c>
      <c r="BH202" s="294">
        <v>56695.469999998721</v>
      </c>
      <c r="BI202" s="294">
        <v>6396.25</v>
      </c>
      <c r="BJ202" s="294">
        <v>0</v>
      </c>
      <c r="BK202" s="294">
        <v>0</v>
      </c>
      <c r="BL202" s="294">
        <v>6396.25</v>
      </c>
      <c r="BM202" s="294">
        <v>0</v>
      </c>
      <c r="BN202" s="294">
        <v>19360</v>
      </c>
      <c r="BO202" s="294">
        <v>0</v>
      </c>
      <c r="BP202" s="294">
        <v>0</v>
      </c>
      <c r="BQ202" s="294">
        <v>19360</v>
      </c>
      <c r="BR202" s="294">
        <v>28630.629999999997</v>
      </c>
      <c r="BS202" s="294">
        <v>-12963.75</v>
      </c>
      <c r="BT202" s="294">
        <v>15666.879999999997</v>
      </c>
      <c r="BU202" s="294">
        <v>0</v>
      </c>
      <c r="BV202" s="294">
        <v>0</v>
      </c>
      <c r="BW202" s="294">
        <v>0</v>
      </c>
      <c r="BX202" s="294">
        <v>0</v>
      </c>
      <c r="BY202" s="294">
        <v>0</v>
      </c>
      <c r="BZ202" s="294">
        <v>0</v>
      </c>
      <c r="CA202" s="294">
        <v>0</v>
      </c>
      <c r="CB202" s="294">
        <v>0</v>
      </c>
      <c r="CC202" s="294">
        <v>0</v>
      </c>
      <c r="CD202" s="294">
        <v>56695.469999998721</v>
      </c>
      <c r="CE202" s="294">
        <v>0</v>
      </c>
      <c r="CF202" s="294">
        <v>15666.879999999997</v>
      </c>
      <c r="CG202" s="294">
        <v>0</v>
      </c>
      <c r="CH202" s="294">
        <v>0</v>
      </c>
      <c r="CI202" s="294">
        <f t="shared" ref="CI202:CI208" si="3">SUM(CD202:CF202)</f>
        <v>72362.349999998725</v>
      </c>
      <c r="CJ202" s="294">
        <v>160587.39000000001</v>
      </c>
      <c r="CK202" s="294">
        <v>0</v>
      </c>
      <c r="CL202" s="294">
        <v>0</v>
      </c>
      <c r="CM202" s="294">
        <v>160587.39000000001</v>
      </c>
      <c r="CN202" s="294">
        <v>0</v>
      </c>
      <c r="CO202" s="294">
        <v>0</v>
      </c>
      <c r="CP202" s="294">
        <v>4325.1400000000003</v>
      </c>
      <c r="CQ202" s="294">
        <v>0</v>
      </c>
      <c r="CR202" s="294">
        <v>-93417.900000000009</v>
      </c>
      <c r="CS202" s="294">
        <v>71494.630000000019</v>
      </c>
      <c r="CT202" s="294">
        <v>0</v>
      </c>
      <c r="CU202" s="294">
        <v>0</v>
      </c>
      <c r="CV202" s="294">
        <v>0</v>
      </c>
      <c r="CW202" s="294">
        <v>0</v>
      </c>
      <c r="CX202" s="294"/>
      <c r="CY202" s="294"/>
      <c r="CZ202" s="294"/>
      <c r="DA202" s="294">
        <v>0</v>
      </c>
      <c r="DB202" s="294">
        <v>0</v>
      </c>
      <c r="DC202" s="294">
        <v>0</v>
      </c>
      <c r="DD202" s="294">
        <v>4204.09</v>
      </c>
      <c r="DE202" s="294">
        <v>0</v>
      </c>
      <c r="DF202" s="294">
        <v>0</v>
      </c>
      <c r="DG202" s="294">
        <v>-3336.38</v>
      </c>
      <c r="DH202" s="294">
        <v>0</v>
      </c>
      <c r="DI202" s="294">
        <v>0</v>
      </c>
      <c r="DJ202" s="294">
        <v>0</v>
      </c>
      <c r="DK202" s="294">
        <v>867.71</v>
      </c>
      <c r="DL202" s="294">
        <v>0</v>
      </c>
      <c r="DM202" s="294">
        <v>0</v>
      </c>
      <c r="DN202" s="294">
        <v>0</v>
      </c>
      <c r="DO202" s="294">
        <v>0</v>
      </c>
      <c r="DP202" s="294">
        <v>0</v>
      </c>
      <c r="DQ202" s="324">
        <v>9.9999999802093953E-3</v>
      </c>
      <c r="DR202" s="295">
        <v>1144720.5000000009</v>
      </c>
      <c r="DS202" s="325">
        <v>377783.51</v>
      </c>
      <c r="DT202" s="295">
        <v>99286.409999999945</v>
      </c>
      <c r="DU202" s="295">
        <v>72803.01999999999</v>
      </c>
      <c r="DV202" s="295">
        <v>47197.9</v>
      </c>
      <c r="DW202" s="295">
        <v>0</v>
      </c>
    </row>
    <row r="203" spans="1:127">
      <c r="A203" s="321">
        <v>2317</v>
      </c>
      <c r="B203" s="322" t="s">
        <v>527</v>
      </c>
      <c r="C203" s="321">
        <v>2317</v>
      </c>
      <c r="D203" s="323" t="s">
        <v>817</v>
      </c>
      <c r="E203" s="323" t="s">
        <v>539</v>
      </c>
      <c r="F203" s="323" t="s">
        <v>818</v>
      </c>
      <c r="G203" s="323" t="s">
        <v>537</v>
      </c>
      <c r="H203" s="294">
        <v>1950561.46</v>
      </c>
      <c r="I203" s="294">
        <v>0</v>
      </c>
      <c r="J203" s="294">
        <v>82566.78</v>
      </c>
      <c r="K203" s="294">
        <v>0</v>
      </c>
      <c r="L203" s="294">
        <v>135380</v>
      </c>
      <c r="M203" s="294">
        <v>0</v>
      </c>
      <c r="N203" s="294">
        <v>0</v>
      </c>
      <c r="O203" s="294">
        <v>0</v>
      </c>
      <c r="P203" s="294">
        <v>40494.82</v>
      </c>
      <c r="Q203" s="294">
        <v>30347.99</v>
      </c>
      <c r="R203" s="294">
        <v>0</v>
      </c>
      <c r="S203" s="294">
        <v>0</v>
      </c>
      <c r="T203" s="294">
        <v>0</v>
      </c>
      <c r="U203" s="294">
        <v>0</v>
      </c>
      <c r="V203" s="294">
        <v>0</v>
      </c>
      <c r="W203" s="294">
        <v>3215.11</v>
      </c>
      <c r="X203" s="294">
        <v>84974</v>
      </c>
      <c r="Y203" s="294">
        <v>2327540.16</v>
      </c>
      <c r="Z203" s="294">
        <v>986998.17999999819</v>
      </c>
      <c r="AA203" s="294">
        <v>4697.83</v>
      </c>
      <c r="AB203" s="294">
        <v>2616.7799999999984</v>
      </c>
      <c r="AC203" s="294">
        <v>64509.059999999707</v>
      </c>
      <c r="AD203" s="294">
        <v>356041.79</v>
      </c>
      <c r="AE203" s="294">
        <v>0</v>
      </c>
      <c r="AF203" s="294">
        <v>406351.35000000062</v>
      </c>
      <c r="AG203" s="294">
        <v>19334.659999999996</v>
      </c>
      <c r="AH203" s="294">
        <v>0</v>
      </c>
      <c r="AI203" s="294">
        <v>0</v>
      </c>
      <c r="AJ203" s="294">
        <v>0</v>
      </c>
      <c r="AK203" s="294">
        <v>440</v>
      </c>
      <c r="AL203" s="294">
        <v>0</v>
      </c>
      <c r="AM203" s="294">
        <v>569.76</v>
      </c>
      <c r="AN203" s="294">
        <v>0</v>
      </c>
      <c r="AO203" s="294">
        <v>117704.4</v>
      </c>
      <c r="AP203" s="294">
        <v>15383.15</v>
      </c>
      <c r="AQ203" s="294">
        <v>0</v>
      </c>
      <c r="AR203" s="294">
        <v>192629.78000000003</v>
      </c>
      <c r="AS203" s="294">
        <v>0</v>
      </c>
      <c r="AT203" s="294">
        <v>300.5</v>
      </c>
      <c r="AU203" s="294">
        <v>163589.86000000004</v>
      </c>
      <c r="AV203" s="294">
        <v>5139.75</v>
      </c>
      <c r="AW203" s="294">
        <v>0</v>
      </c>
      <c r="AX203" s="294">
        <v>144501.1</v>
      </c>
      <c r="AY203" s="294">
        <v>0</v>
      </c>
      <c r="AZ203" s="294">
        <v>6392.85</v>
      </c>
      <c r="BA203" s="294">
        <v>20968.3</v>
      </c>
      <c r="BB203" s="294">
        <v>0</v>
      </c>
      <c r="BC203" s="294">
        <v>0</v>
      </c>
      <c r="BD203" s="294">
        <v>0</v>
      </c>
      <c r="BE203" s="294">
        <v>2508169.0999999982</v>
      </c>
      <c r="BF203" s="294">
        <v>88626.849999999977</v>
      </c>
      <c r="BG203" s="294">
        <v>-180628.93999999808</v>
      </c>
      <c r="BH203" s="294">
        <v>-92002.089999998105</v>
      </c>
      <c r="BI203" s="294">
        <v>7543.75</v>
      </c>
      <c r="BJ203" s="294">
        <v>0</v>
      </c>
      <c r="BK203" s="294">
        <v>0</v>
      </c>
      <c r="BL203" s="294">
        <v>7543.75</v>
      </c>
      <c r="BM203" s="294">
        <v>0</v>
      </c>
      <c r="BN203" s="294">
        <v>2349</v>
      </c>
      <c r="BO203" s="294">
        <v>0</v>
      </c>
      <c r="BP203" s="294">
        <v>0</v>
      </c>
      <c r="BQ203" s="294">
        <v>2349</v>
      </c>
      <c r="BR203" s="294">
        <v>13129.549999999997</v>
      </c>
      <c r="BS203" s="294">
        <v>5194.75</v>
      </c>
      <c r="BT203" s="294">
        <v>18324.299999999996</v>
      </c>
      <c r="BU203" s="294">
        <v>0</v>
      </c>
      <c r="BV203" s="294">
        <v>0</v>
      </c>
      <c r="BW203" s="294">
        <v>0</v>
      </c>
      <c r="BX203" s="294">
        <v>0</v>
      </c>
      <c r="BY203" s="294">
        <v>0</v>
      </c>
      <c r="BZ203" s="294">
        <v>0</v>
      </c>
      <c r="CA203" s="294">
        <v>0</v>
      </c>
      <c r="CB203" s="294">
        <v>0</v>
      </c>
      <c r="CC203" s="294">
        <v>0</v>
      </c>
      <c r="CD203" s="294">
        <v>-92002.089999998105</v>
      </c>
      <c r="CE203" s="294">
        <v>0</v>
      </c>
      <c r="CF203" s="294">
        <v>18324.299999999996</v>
      </c>
      <c r="CG203" s="294">
        <v>0</v>
      </c>
      <c r="CH203" s="294">
        <v>0</v>
      </c>
      <c r="CI203" s="294">
        <f t="shared" si="3"/>
        <v>-73677.789999998116</v>
      </c>
      <c r="CJ203" s="294">
        <v>122000.85</v>
      </c>
      <c r="CK203" s="294">
        <v>0</v>
      </c>
      <c r="CL203" s="294">
        <v>0</v>
      </c>
      <c r="CM203" s="294">
        <v>122000.85</v>
      </c>
      <c r="CN203" s="294">
        <v>0</v>
      </c>
      <c r="CO203" s="294">
        <v>0</v>
      </c>
      <c r="CP203" s="294">
        <v>2106.81</v>
      </c>
      <c r="CQ203" s="294">
        <v>0</v>
      </c>
      <c r="CR203" s="294">
        <v>-171452.06999999998</v>
      </c>
      <c r="CS203" s="294">
        <v>-47344.409999999974</v>
      </c>
      <c r="CT203" s="294">
        <v>0</v>
      </c>
      <c r="CU203" s="294">
        <v>0</v>
      </c>
      <c r="CV203" s="294">
        <v>0</v>
      </c>
      <c r="CW203" s="294">
        <v>0</v>
      </c>
      <c r="CX203" s="294"/>
      <c r="CY203" s="294"/>
      <c r="CZ203" s="294"/>
      <c r="DA203" s="294">
        <v>0</v>
      </c>
      <c r="DB203" s="294">
        <v>0</v>
      </c>
      <c r="DC203" s="294">
        <v>0</v>
      </c>
      <c r="DD203" s="294">
        <v>3036.46</v>
      </c>
      <c r="DE203" s="294">
        <v>0</v>
      </c>
      <c r="DF203" s="294">
        <v>0</v>
      </c>
      <c r="DG203" s="294">
        <v>0</v>
      </c>
      <c r="DH203" s="294">
        <v>-29369.85</v>
      </c>
      <c r="DI203" s="294">
        <v>0</v>
      </c>
      <c r="DJ203" s="294">
        <v>0</v>
      </c>
      <c r="DK203" s="294">
        <v>-26333.39</v>
      </c>
      <c r="DL203" s="294">
        <v>0</v>
      </c>
      <c r="DM203" s="294">
        <v>0</v>
      </c>
      <c r="DN203" s="294">
        <v>0</v>
      </c>
      <c r="DO203" s="294">
        <v>0</v>
      </c>
      <c r="DP203" s="294">
        <v>0</v>
      </c>
      <c r="DQ203" s="324">
        <v>9.9999999729334377E-3</v>
      </c>
      <c r="DR203" s="295">
        <v>1840549.6499999983</v>
      </c>
      <c r="DS203" s="325">
        <v>667619.44999999995</v>
      </c>
      <c r="DT203" s="295">
        <v>0</v>
      </c>
      <c r="DU203" s="295">
        <v>70842.81</v>
      </c>
      <c r="DV203" s="295">
        <v>0</v>
      </c>
      <c r="DW203" s="295">
        <v>0</v>
      </c>
    </row>
    <row r="204" spans="1:127">
      <c r="A204" s="321">
        <v>2225</v>
      </c>
      <c r="B204" s="322" t="s">
        <v>387</v>
      </c>
      <c r="C204" s="321">
        <v>2225</v>
      </c>
      <c r="D204" s="323" t="s">
        <v>817</v>
      </c>
      <c r="E204" s="323" t="s">
        <v>539</v>
      </c>
      <c r="F204" s="323" t="s">
        <v>818</v>
      </c>
      <c r="G204" s="323" t="s">
        <v>537</v>
      </c>
      <c r="H204" s="294">
        <v>2180712.71</v>
      </c>
      <c r="I204" s="294">
        <v>0</v>
      </c>
      <c r="J204" s="294">
        <v>226249.93</v>
      </c>
      <c r="K204" s="294">
        <v>0</v>
      </c>
      <c r="L204" s="294">
        <v>257520</v>
      </c>
      <c r="M204" s="294">
        <v>8571.2900000000009</v>
      </c>
      <c r="N204" s="294">
        <v>67299</v>
      </c>
      <c r="O204" s="294">
        <v>0</v>
      </c>
      <c r="P204" s="294">
        <v>19654.599999999999</v>
      </c>
      <c r="Q204" s="294">
        <v>31845.43</v>
      </c>
      <c r="R204" s="294">
        <v>0</v>
      </c>
      <c r="S204" s="294">
        <v>0</v>
      </c>
      <c r="T204" s="294">
        <v>58650.89</v>
      </c>
      <c r="U204" s="294">
        <v>79629.600000000006</v>
      </c>
      <c r="V204" s="294">
        <v>0</v>
      </c>
      <c r="W204" s="294">
        <v>-640</v>
      </c>
      <c r="X204" s="294">
        <v>19634</v>
      </c>
      <c r="Y204" s="294">
        <v>2949127.4500000007</v>
      </c>
      <c r="Z204" s="294">
        <v>1110713.53</v>
      </c>
      <c r="AA204" s="294">
        <v>0</v>
      </c>
      <c r="AB204" s="294">
        <v>656495.35</v>
      </c>
      <c r="AC204" s="294">
        <v>77571.44</v>
      </c>
      <c r="AD204" s="294">
        <v>152644.85</v>
      </c>
      <c r="AE204" s="294">
        <v>0</v>
      </c>
      <c r="AF204" s="294">
        <v>54241.98</v>
      </c>
      <c r="AG204" s="294">
        <v>746.14</v>
      </c>
      <c r="AH204" s="294">
        <v>10884.6</v>
      </c>
      <c r="AI204" s="294">
        <v>0</v>
      </c>
      <c r="AJ204" s="294">
        <v>0</v>
      </c>
      <c r="AK204" s="294">
        <v>52209.87</v>
      </c>
      <c r="AL204" s="294">
        <v>1173.8</v>
      </c>
      <c r="AM204" s="294">
        <v>5935.41</v>
      </c>
      <c r="AN204" s="294">
        <v>8777.26</v>
      </c>
      <c r="AO204" s="294">
        <v>105153.16</v>
      </c>
      <c r="AP204" s="294">
        <v>20391.63</v>
      </c>
      <c r="AQ204" s="294">
        <v>12813.43</v>
      </c>
      <c r="AR204" s="294">
        <v>86882.34</v>
      </c>
      <c r="AS204" s="294">
        <v>727.3</v>
      </c>
      <c r="AT204" s="294">
        <v>1584</v>
      </c>
      <c r="AU204" s="294">
        <v>18953.43</v>
      </c>
      <c r="AV204" s="294">
        <v>9250</v>
      </c>
      <c r="AW204" s="294">
        <v>6266.5</v>
      </c>
      <c r="AX204" s="294">
        <v>135707</v>
      </c>
      <c r="AY204" s="294">
        <v>84612.76</v>
      </c>
      <c r="AZ204" s="294">
        <v>51870.92</v>
      </c>
      <c r="BA204" s="294">
        <v>142754.01999999999</v>
      </c>
      <c r="BB204" s="294">
        <v>0</v>
      </c>
      <c r="BC204" s="294">
        <v>0</v>
      </c>
      <c r="BD204" s="294">
        <v>0</v>
      </c>
      <c r="BE204" s="294">
        <v>2808360.7199999993</v>
      </c>
      <c r="BF204" s="294">
        <v>436365.16999999946</v>
      </c>
      <c r="BG204" s="294">
        <v>140766.73000000138</v>
      </c>
      <c r="BH204" s="294">
        <v>577131.90000000084</v>
      </c>
      <c r="BI204" s="294">
        <v>8016.25</v>
      </c>
      <c r="BJ204" s="294">
        <v>0</v>
      </c>
      <c r="BK204" s="294">
        <v>0</v>
      </c>
      <c r="BL204" s="294">
        <v>8016.25</v>
      </c>
      <c r="BM204" s="294">
        <v>0</v>
      </c>
      <c r="BN204" s="294">
        <v>0</v>
      </c>
      <c r="BO204" s="294">
        <v>0</v>
      </c>
      <c r="BP204" s="294">
        <v>0</v>
      </c>
      <c r="BQ204" s="294">
        <v>0</v>
      </c>
      <c r="BR204" s="294">
        <v>50167.5</v>
      </c>
      <c r="BS204" s="294">
        <v>8016.25</v>
      </c>
      <c r="BT204" s="294">
        <v>58183.75</v>
      </c>
      <c r="BU204" s="294">
        <v>0</v>
      </c>
      <c r="BV204" s="294">
        <v>0</v>
      </c>
      <c r="BW204" s="294">
        <v>0</v>
      </c>
      <c r="BX204" s="294">
        <v>0</v>
      </c>
      <c r="BY204" s="294">
        <v>0</v>
      </c>
      <c r="BZ204" s="294">
        <v>0</v>
      </c>
      <c r="CA204" s="294">
        <v>0</v>
      </c>
      <c r="CB204" s="294">
        <v>0</v>
      </c>
      <c r="CC204" s="294">
        <v>0</v>
      </c>
      <c r="CD204" s="294">
        <v>577131.90000000084</v>
      </c>
      <c r="CE204" s="294">
        <v>0</v>
      </c>
      <c r="CF204" s="294">
        <v>58183.75</v>
      </c>
      <c r="CG204" s="294">
        <v>0</v>
      </c>
      <c r="CH204" s="294">
        <v>0</v>
      </c>
      <c r="CI204" s="294">
        <f t="shared" si="3"/>
        <v>635315.65000000084</v>
      </c>
      <c r="CJ204" s="294">
        <v>917754.95</v>
      </c>
      <c r="CK204" s="294">
        <v>12790.93</v>
      </c>
      <c r="CL204" s="294">
        <v>1361.03</v>
      </c>
      <c r="CM204" s="294">
        <v>906325.04999999993</v>
      </c>
      <c r="CN204" s="294">
        <v>0</v>
      </c>
      <c r="CO204" s="294">
        <v>0</v>
      </c>
      <c r="CP204" s="294">
        <v>4449.1499999999996</v>
      </c>
      <c r="CQ204" s="294">
        <v>4614.84</v>
      </c>
      <c r="CR204" s="294">
        <v>0</v>
      </c>
      <c r="CS204" s="294">
        <v>915389.03999999992</v>
      </c>
      <c r="CT204" s="294">
        <v>49005.85</v>
      </c>
      <c r="CU204" s="294">
        <v>0</v>
      </c>
      <c r="CV204" s="294">
        <v>0</v>
      </c>
      <c r="CW204" s="294">
        <v>49005.85</v>
      </c>
      <c r="CX204" s="294"/>
      <c r="CY204" s="294"/>
      <c r="CZ204" s="294"/>
      <c r="DA204" s="294">
        <v>0</v>
      </c>
      <c r="DB204" s="294">
        <v>49005.85</v>
      </c>
      <c r="DC204" s="294">
        <v>9410</v>
      </c>
      <c r="DD204" s="294">
        <v>0</v>
      </c>
      <c r="DE204" s="294">
        <v>0</v>
      </c>
      <c r="DF204" s="294">
        <v>0</v>
      </c>
      <c r="DG204" s="294">
        <v>-83208.759999999995</v>
      </c>
      <c r="DH204" s="294">
        <v>-37871.24</v>
      </c>
      <c r="DI204" s="294">
        <v>0</v>
      </c>
      <c r="DJ204" s="294">
        <v>0</v>
      </c>
      <c r="DK204" s="294">
        <v>-111670</v>
      </c>
      <c r="DL204" s="294">
        <v>0</v>
      </c>
      <c r="DM204" s="294">
        <v>0</v>
      </c>
      <c r="DN204" s="294">
        <v>-50988.79</v>
      </c>
      <c r="DO204" s="294">
        <v>-166420.43</v>
      </c>
      <c r="DP204" s="294">
        <v>0</v>
      </c>
      <c r="DQ204" s="324">
        <v>-1.999999990221113E-2</v>
      </c>
      <c r="DR204" s="295">
        <v>2052413.2899999998</v>
      </c>
      <c r="DS204" s="325">
        <v>755947.42999999947</v>
      </c>
      <c r="DT204" s="295">
        <v>84612.76</v>
      </c>
      <c r="DU204" s="295">
        <v>110150.92</v>
      </c>
      <c r="DV204" s="295">
        <v>79629.600000000006</v>
      </c>
      <c r="DW204" s="295">
        <v>-217409.22</v>
      </c>
    </row>
    <row r="205" spans="1:127">
      <c r="A205" s="321">
        <v>2412</v>
      </c>
      <c r="B205" s="322" t="s">
        <v>388</v>
      </c>
      <c r="C205" s="321">
        <v>2412</v>
      </c>
      <c r="D205" s="323" t="s">
        <v>817</v>
      </c>
      <c r="E205" s="323" t="s">
        <v>539</v>
      </c>
      <c r="F205" s="323" t="s">
        <v>818</v>
      </c>
      <c r="G205" s="323" t="s">
        <v>537</v>
      </c>
      <c r="H205" s="294">
        <v>2150447.38</v>
      </c>
      <c r="I205" s="294">
        <v>0</v>
      </c>
      <c r="J205" s="294">
        <v>105527.48</v>
      </c>
      <c r="K205" s="294">
        <v>0</v>
      </c>
      <c r="L205" s="294">
        <v>159760</v>
      </c>
      <c r="M205" s="294">
        <v>9371.2900000000009</v>
      </c>
      <c r="N205" s="294">
        <v>0</v>
      </c>
      <c r="O205" s="294">
        <v>616</v>
      </c>
      <c r="P205" s="294">
        <v>659.61999999999989</v>
      </c>
      <c r="Q205" s="294">
        <v>0</v>
      </c>
      <c r="R205" s="294">
        <v>0</v>
      </c>
      <c r="S205" s="294">
        <v>0</v>
      </c>
      <c r="T205" s="294">
        <v>30576.83</v>
      </c>
      <c r="U205" s="294">
        <v>118072.16</v>
      </c>
      <c r="V205" s="294">
        <v>0</v>
      </c>
      <c r="W205" s="294">
        <v>6196.88</v>
      </c>
      <c r="X205" s="294">
        <v>83739</v>
      </c>
      <c r="Y205" s="294">
        <v>2664966.64</v>
      </c>
      <c r="Z205" s="294">
        <v>1441779.31</v>
      </c>
      <c r="AA205" s="294">
        <v>0</v>
      </c>
      <c r="AB205" s="294">
        <v>189479.21</v>
      </c>
      <c r="AC205" s="294">
        <v>84715.05</v>
      </c>
      <c r="AD205" s="294">
        <v>85625.98</v>
      </c>
      <c r="AE205" s="294">
        <v>0</v>
      </c>
      <c r="AF205" s="294">
        <v>48699.54</v>
      </c>
      <c r="AG205" s="294">
        <v>7521.76</v>
      </c>
      <c r="AH205" s="294">
        <v>3797.68</v>
      </c>
      <c r="AI205" s="294">
        <v>0</v>
      </c>
      <c r="AJ205" s="294">
        <v>0</v>
      </c>
      <c r="AK205" s="294">
        <v>6849.54</v>
      </c>
      <c r="AL205" s="294">
        <v>2200</v>
      </c>
      <c r="AM205" s="294">
        <v>6023.18</v>
      </c>
      <c r="AN205" s="294">
        <v>7887.48</v>
      </c>
      <c r="AO205" s="294">
        <v>51434.54</v>
      </c>
      <c r="AP205" s="294">
        <v>32064.81</v>
      </c>
      <c r="AQ205" s="294">
        <v>9979.74</v>
      </c>
      <c r="AR205" s="294">
        <v>83060.25</v>
      </c>
      <c r="AS205" s="294">
        <v>67518.490000000005</v>
      </c>
      <c r="AT205" s="294">
        <v>0</v>
      </c>
      <c r="AU205" s="294">
        <v>31935.98</v>
      </c>
      <c r="AV205" s="294">
        <v>9471</v>
      </c>
      <c r="AW205" s="294">
        <v>2205.4</v>
      </c>
      <c r="AX205" s="294">
        <v>84500.52</v>
      </c>
      <c r="AY205" s="294">
        <v>203189.46</v>
      </c>
      <c r="AZ205" s="294">
        <v>16639.330000000002</v>
      </c>
      <c r="BA205" s="294">
        <v>140942.42000000001</v>
      </c>
      <c r="BB205" s="294">
        <v>0</v>
      </c>
      <c r="BC205" s="294">
        <v>0</v>
      </c>
      <c r="BD205" s="294">
        <v>0</v>
      </c>
      <c r="BE205" s="294">
        <v>2617520.67</v>
      </c>
      <c r="BF205" s="294">
        <v>569347.34000000008</v>
      </c>
      <c r="BG205" s="294">
        <v>47445.970000000205</v>
      </c>
      <c r="BH205" s="294">
        <v>616793.31000000029</v>
      </c>
      <c r="BI205" s="294">
        <v>8725</v>
      </c>
      <c r="BJ205" s="294">
        <v>0</v>
      </c>
      <c r="BK205" s="294">
        <v>0</v>
      </c>
      <c r="BL205" s="294">
        <v>8725</v>
      </c>
      <c r="BM205" s="294">
        <v>0</v>
      </c>
      <c r="BN205" s="294">
        <v>0</v>
      </c>
      <c r="BO205" s="294">
        <v>0</v>
      </c>
      <c r="BP205" s="294">
        <v>0</v>
      </c>
      <c r="BQ205" s="294">
        <v>0</v>
      </c>
      <c r="BR205" s="294">
        <v>61544.25</v>
      </c>
      <c r="BS205" s="294">
        <v>8725</v>
      </c>
      <c r="BT205" s="294">
        <v>70269.25</v>
      </c>
      <c r="BU205" s="294">
        <v>0</v>
      </c>
      <c r="BV205" s="294">
        <v>0</v>
      </c>
      <c r="BW205" s="294">
        <v>0</v>
      </c>
      <c r="BX205" s="294">
        <v>0</v>
      </c>
      <c r="BY205" s="294">
        <v>0</v>
      </c>
      <c r="BZ205" s="294">
        <v>0</v>
      </c>
      <c r="CA205" s="294">
        <v>0</v>
      </c>
      <c r="CB205" s="294">
        <v>0</v>
      </c>
      <c r="CC205" s="294">
        <v>0</v>
      </c>
      <c r="CD205" s="294">
        <v>616793.31000000029</v>
      </c>
      <c r="CE205" s="294">
        <v>0</v>
      </c>
      <c r="CF205" s="294">
        <v>70269.25</v>
      </c>
      <c r="CG205" s="294">
        <v>0</v>
      </c>
      <c r="CH205" s="294">
        <v>0</v>
      </c>
      <c r="CI205" s="294">
        <f t="shared" si="3"/>
        <v>687062.56000000029</v>
      </c>
      <c r="CJ205" s="294">
        <v>827157.67</v>
      </c>
      <c r="CK205" s="294">
        <v>149442</v>
      </c>
      <c r="CL205" s="294">
        <v>0</v>
      </c>
      <c r="CM205" s="294">
        <v>677715.67</v>
      </c>
      <c r="CN205" s="294">
        <v>0</v>
      </c>
      <c r="CO205" s="294">
        <v>0</v>
      </c>
      <c r="CP205" s="294">
        <v>21619.56</v>
      </c>
      <c r="CQ205" s="294">
        <v>0</v>
      </c>
      <c r="CR205" s="294">
        <v>0</v>
      </c>
      <c r="CS205" s="294">
        <v>699335.2300000001</v>
      </c>
      <c r="CT205" s="294">
        <v>0</v>
      </c>
      <c r="CU205" s="294">
        <v>0</v>
      </c>
      <c r="CV205" s="294">
        <v>0</v>
      </c>
      <c r="CW205" s="294">
        <v>0</v>
      </c>
      <c r="CX205" s="294"/>
      <c r="CY205" s="294"/>
      <c r="CZ205" s="294"/>
      <c r="DA205" s="294">
        <v>0</v>
      </c>
      <c r="DB205" s="294">
        <v>0</v>
      </c>
      <c r="DC205" s="294">
        <v>0</v>
      </c>
      <c r="DD205" s="294">
        <v>571.54999999999995</v>
      </c>
      <c r="DE205" s="294">
        <v>0</v>
      </c>
      <c r="DF205" s="294">
        <v>0</v>
      </c>
      <c r="DG205" s="294">
        <v>-12778</v>
      </c>
      <c r="DH205" s="294">
        <v>0</v>
      </c>
      <c r="DI205" s="294">
        <v>0</v>
      </c>
      <c r="DJ205" s="294">
        <v>0</v>
      </c>
      <c r="DK205" s="294">
        <v>-12206.45</v>
      </c>
      <c r="DL205" s="294">
        <v>-220</v>
      </c>
      <c r="DM205" s="294">
        <v>0</v>
      </c>
      <c r="DN205" s="294">
        <v>154</v>
      </c>
      <c r="DO205" s="294">
        <v>0</v>
      </c>
      <c r="DP205" s="294">
        <v>0</v>
      </c>
      <c r="DQ205" s="324">
        <v>6.4028427004814148E-10</v>
      </c>
      <c r="DR205" s="295">
        <v>1857820.85</v>
      </c>
      <c r="DS205" s="325">
        <v>759699.81999999983</v>
      </c>
      <c r="DT205" s="295">
        <v>203189.46</v>
      </c>
      <c r="DU205" s="295">
        <v>31852.45</v>
      </c>
      <c r="DV205" s="295">
        <v>118072.16</v>
      </c>
      <c r="DW205" s="295">
        <v>-66</v>
      </c>
    </row>
    <row r="206" spans="1:127">
      <c r="A206" s="321">
        <v>3421</v>
      </c>
      <c r="B206" s="322" t="s">
        <v>528</v>
      </c>
      <c r="C206" s="321">
        <v>3421</v>
      </c>
      <c r="D206" s="323" t="s">
        <v>817</v>
      </c>
      <c r="E206" s="323" t="s">
        <v>539</v>
      </c>
      <c r="F206" s="323" t="s">
        <v>818</v>
      </c>
      <c r="G206" s="323" t="s">
        <v>537</v>
      </c>
      <c r="H206" s="294">
        <v>4274605.9400000004</v>
      </c>
      <c r="I206" s="294">
        <v>0</v>
      </c>
      <c r="J206" s="294">
        <v>155377.51</v>
      </c>
      <c r="K206" s="294">
        <v>0</v>
      </c>
      <c r="L206" s="294">
        <v>421170</v>
      </c>
      <c r="M206" s="294">
        <v>180664.29</v>
      </c>
      <c r="N206" s="294">
        <v>0</v>
      </c>
      <c r="O206" s="294">
        <v>180</v>
      </c>
      <c r="P206" s="294">
        <v>62307.069999999992</v>
      </c>
      <c r="Q206" s="294">
        <v>36351.370000000003</v>
      </c>
      <c r="R206" s="294">
        <v>0</v>
      </c>
      <c r="S206" s="294">
        <v>0</v>
      </c>
      <c r="T206" s="294">
        <v>167401.09999999992</v>
      </c>
      <c r="U206" s="294">
        <v>0</v>
      </c>
      <c r="V206" s="294">
        <v>0</v>
      </c>
      <c r="W206" s="294">
        <v>24353.96</v>
      </c>
      <c r="X206" s="294">
        <v>123790</v>
      </c>
      <c r="Y206" s="294">
        <v>5446201.2400000002</v>
      </c>
      <c r="Z206" s="294">
        <v>3077455.4699999974</v>
      </c>
      <c r="AA206" s="294">
        <v>131859.43000000002</v>
      </c>
      <c r="AB206" s="294">
        <v>702273.39</v>
      </c>
      <c r="AC206" s="294">
        <v>93727.350000000326</v>
      </c>
      <c r="AD206" s="294">
        <v>228754.94</v>
      </c>
      <c r="AE206" s="294">
        <v>0</v>
      </c>
      <c r="AF206" s="294">
        <v>146152.63</v>
      </c>
      <c r="AG206" s="294">
        <v>44274.749999999942</v>
      </c>
      <c r="AH206" s="294">
        <v>0</v>
      </c>
      <c r="AI206" s="294">
        <v>0</v>
      </c>
      <c r="AJ206" s="294">
        <v>0</v>
      </c>
      <c r="AK206" s="294">
        <v>10175.459999999999</v>
      </c>
      <c r="AL206" s="294">
        <v>114.32</v>
      </c>
      <c r="AM206" s="294">
        <v>81611.920000000013</v>
      </c>
      <c r="AN206" s="294">
        <v>16643.25</v>
      </c>
      <c r="AO206" s="294">
        <v>86931.17</v>
      </c>
      <c r="AP206" s="294">
        <v>32542.02</v>
      </c>
      <c r="AQ206" s="294">
        <v>6276.3899999999994</v>
      </c>
      <c r="AR206" s="294">
        <v>415966.27000000008</v>
      </c>
      <c r="AS206" s="294">
        <v>25046.960000000003</v>
      </c>
      <c r="AT206" s="294">
        <v>0</v>
      </c>
      <c r="AU206" s="294">
        <v>109834.69999999998</v>
      </c>
      <c r="AV206" s="294">
        <v>24312.75</v>
      </c>
      <c r="AW206" s="294">
        <v>6975</v>
      </c>
      <c r="AX206" s="294">
        <v>256042.51</v>
      </c>
      <c r="AY206" s="294">
        <v>10209.509999999998</v>
      </c>
      <c r="AZ206" s="294">
        <v>20833.169999999998</v>
      </c>
      <c r="BA206" s="294">
        <v>105485.1</v>
      </c>
      <c r="BB206" s="294">
        <v>0</v>
      </c>
      <c r="BC206" s="294">
        <v>0</v>
      </c>
      <c r="BD206" s="294">
        <v>0</v>
      </c>
      <c r="BE206" s="294">
        <v>5633498.4599999972</v>
      </c>
      <c r="BF206" s="294">
        <v>384641.16999999981</v>
      </c>
      <c r="BG206" s="294">
        <v>-187297.21999999695</v>
      </c>
      <c r="BH206" s="294">
        <v>197343.95000000286</v>
      </c>
      <c r="BI206" s="294">
        <v>13438.75</v>
      </c>
      <c r="BJ206" s="294">
        <v>0</v>
      </c>
      <c r="BK206" s="294">
        <v>0</v>
      </c>
      <c r="BL206" s="294">
        <v>13438.75</v>
      </c>
      <c r="BM206" s="294">
        <v>0</v>
      </c>
      <c r="BN206" s="294">
        <v>8335.57</v>
      </c>
      <c r="BO206" s="294">
        <v>0</v>
      </c>
      <c r="BP206" s="294">
        <v>0</v>
      </c>
      <c r="BQ206" s="294">
        <v>8335.57</v>
      </c>
      <c r="BR206" s="294">
        <v>1798.1299999999974</v>
      </c>
      <c r="BS206" s="294">
        <v>5103.18</v>
      </c>
      <c r="BT206" s="294">
        <v>6901.3099999999977</v>
      </c>
      <c r="BU206" s="294">
        <v>0</v>
      </c>
      <c r="BV206" s="294">
        <v>0</v>
      </c>
      <c r="BW206" s="294">
        <v>0</v>
      </c>
      <c r="BX206" s="294">
        <v>0</v>
      </c>
      <c r="BY206" s="294">
        <v>0</v>
      </c>
      <c r="BZ206" s="294">
        <v>0</v>
      </c>
      <c r="CA206" s="294">
        <v>0</v>
      </c>
      <c r="CB206" s="294">
        <v>0</v>
      </c>
      <c r="CC206" s="294">
        <v>0</v>
      </c>
      <c r="CD206" s="294">
        <v>197343.95000000286</v>
      </c>
      <c r="CE206" s="294">
        <v>0</v>
      </c>
      <c r="CF206" s="294">
        <v>6901.3099999999977</v>
      </c>
      <c r="CG206" s="294">
        <v>0</v>
      </c>
      <c r="CH206" s="294">
        <v>0</v>
      </c>
      <c r="CI206" s="294">
        <f t="shared" si="3"/>
        <v>204245.26000000286</v>
      </c>
      <c r="CJ206" s="294">
        <v>569477.11</v>
      </c>
      <c r="CK206" s="294">
        <v>2027.31</v>
      </c>
      <c r="CL206" s="294">
        <v>250</v>
      </c>
      <c r="CM206" s="294">
        <v>567699.79999999993</v>
      </c>
      <c r="CN206" s="294">
        <v>0</v>
      </c>
      <c r="CO206" s="294">
        <v>0</v>
      </c>
      <c r="CP206" s="294">
        <v>11027.52</v>
      </c>
      <c r="CQ206" s="294">
        <v>12824.25</v>
      </c>
      <c r="CR206" s="294">
        <v>-377493.55</v>
      </c>
      <c r="CS206" s="294">
        <v>214058.01999999996</v>
      </c>
      <c r="CT206" s="294">
        <v>0</v>
      </c>
      <c r="CU206" s="294">
        <v>0</v>
      </c>
      <c r="CV206" s="294">
        <v>0</v>
      </c>
      <c r="CW206" s="294">
        <v>0</v>
      </c>
      <c r="CX206" s="294"/>
      <c r="CY206" s="294"/>
      <c r="CZ206" s="294"/>
      <c r="DA206" s="294">
        <v>0</v>
      </c>
      <c r="DB206" s="294">
        <v>0</v>
      </c>
      <c r="DC206" s="294">
        <v>0</v>
      </c>
      <c r="DD206" s="294">
        <v>14345.75</v>
      </c>
      <c r="DE206" s="294">
        <v>0</v>
      </c>
      <c r="DF206" s="294">
        <v>0</v>
      </c>
      <c r="DG206" s="294">
        <v>-23927.3</v>
      </c>
      <c r="DH206" s="294">
        <v>-231</v>
      </c>
      <c r="DI206" s="294">
        <v>0</v>
      </c>
      <c r="DJ206" s="294">
        <v>0</v>
      </c>
      <c r="DK206" s="294">
        <v>-9812.5499999999993</v>
      </c>
      <c r="DL206" s="294">
        <v>0</v>
      </c>
      <c r="DM206" s="294">
        <v>0</v>
      </c>
      <c r="DN206" s="294">
        <v>0</v>
      </c>
      <c r="DO206" s="294">
        <v>0</v>
      </c>
      <c r="DP206" s="294">
        <v>0</v>
      </c>
      <c r="DQ206" s="324">
        <v>-0.2099999999627471</v>
      </c>
      <c r="DR206" s="295">
        <v>4424497.9599999981</v>
      </c>
      <c r="DS206" s="325">
        <v>1209000.4999999991</v>
      </c>
      <c r="DT206" s="295">
        <v>10209.509999999998</v>
      </c>
      <c r="DU206" s="295">
        <v>266239.53999999992</v>
      </c>
      <c r="DV206" s="295">
        <v>0</v>
      </c>
      <c r="DW206" s="295">
        <v>0</v>
      </c>
    </row>
    <row r="207" spans="1:127">
      <c r="A207" s="321">
        <v>2227</v>
      </c>
      <c r="B207" s="322" t="s">
        <v>478</v>
      </c>
      <c r="C207" s="321">
        <v>2227</v>
      </c>
      <c r="D207" s="323" t="s">
        <v>817</v>
      </c>
      <c r="E207" s="323" t="s">
        <v>539</v>
      </c>
      <c r="F207" s="323" t="s">
        <v>818</v>
      </c>
      <c r="G207" s="323" t="s">
        <v>537</v>
      </c>
      <c r="H207" s="294">
        <v>2826959.12</v>
      </c>
      <c r="I207" s="294">
        <v>0</v>
      </c>
      <c r="J207" s="294">
        <v>192177.9</v>
      </c>
      <c r="K207" s="294">
        <v>0</v>
      </c>
      <c r="L207" s="294">
        <v>351590</v>
      </c>
      <c r="M207" s="294">
        <v>1000</v>
      </c>
      <c r="N207" s="294">
        <v>0</v>
      </c>
      <c r="O207" s="294">
        <v>0</v>
      </c>
      <c r="P207" s="294">
        <v>50212.280000000006</v>
      </c>
      <c r="Q207" s="294">
        <v>60121.759999999951</v>
      </c>
      <c r="R207" s="294">
        <v>0</v>
      </c>
      <c r="S207" s="294">
        <v>0</v>
      </c>
      <c r="T207" s="294">
        <v>34330.089999999997</v>
      </c>
      <c r="U207" s="294">
        <v>0</v>
      </c>
      <c r="V207" s="294">
        <v>0</v>
      </c>
      <c r="W207" s="294">
        <v>7533.32</v>
      </c>
      <c r="X207" s="294">
        <v>60318</v>
      </c>
      <c r="Y207" s="294">
        <v>3584242.4699999993</v>
      </c>
      <c r="Z207" s="294">
        <v>1317392.5399999996</v>
      </c>
      <c r="AA207" s="294">
        <v>-7247.1700000000019</v>
      </c>
      <c r="AB207" s="294">
        <v>-17541.230000000003</v>
      </c>
      <c r="AC207" s="294">
        <v>698279.69000000064</v>
      </c>
      <c r="AD207" s="294">
        <v>1808.9899999999998</v>
      </c>
      <c r="AE207" s="294">
        <v>0</v>
      </c>
      <c r="AF207" s="294">
        <v>568857.95999999973</v>
      </c>
      <c r="AG207" s="294">
        <v>40902.419999999984</v>
      </c>
      <c r="AH207" s="294">
        <v>4408.82</v>
      </c>
      <c r="AI207" s="294">
        <v>0</v>
      </c>
      <c r="AJ207" s="294">
        <v>0</v>
      </c>
      <c r="AK207" s="294">
        <v>127456.05411775295</v>
      </c>
      <c r="AL207" s="294">
        <v>2310</v>
      </c>
      <c r="AM207" s="294">
        <v>2563.58</v>
      </c>
      <c r="AN207" s="294">
        <v>0</v>
      </c>
      <c r="AO207" s="294">
        <v>37940.899999999994</v>
      </c>
      <c r="AP207" s="294">
        <v>20919.87</v>
      </c>
      <c r="AQ207" s="294">
        <v>19054.080000000002</v>
      </c>
      <c r="AR207" s="294">
        <v>69172.11000000003</v>
      </c>
      <c r="AS207" s="294">
        <v>0</v>
      </c>
      <c r="AT207" s="294">
        <v>312.52</v>
      </c>
      <c r="AU207" s="294">
        <v>17594.299999999992</v>
      </c>
      <c r="AV207" s="294">
        <v>9471</v>
      </c>
      <c r="AW207" s="294">
        <v>8740</v>
      </c>
      <c r="AX207" s="294">
        <v>231740.32</v>
      </c>
      <c r="AY207" s="294">
        <v>107028.62000000001</v>
      </c>
      <c r="AZ207" s="294">
        <v>10604.61</v>
      </c>
      <c r="BA207" s="294">
        <v>164596.43000000002</v>
      </c>
      <c r="BB207" s="294">
        <v>0</v>
      </c>
      <c r="BC207" s="294">
        <v>0</v>
      </c>
      <c r="BD207" s="294">
        <v>0</v>
      </c>
      <c r="BE207" s="294">
        <v>3436366.414117753</v>
      </c>
      <c r="BF207" s="294">
        <v>263445.09999999969</v>
      </c>
      <c r="BG207" s="294">
        <v>147876.05588224623</v>
      </c>
      <c r="BH207" s="294">
        <v>411321.15588224592</v>
      </c>
      <c r="BI207" s="294">
        <v>8860</v>
      </c>
      <c r="BJ207" s="294">
        <v>0</v>
      </c>
      <c r="BK207" s="294">
        <v>0</v>
      </c>
      <c r="BL207" s="294">
        <v>8860</v>
      </c>
      <c r="BM207" s="294">
        <v>0</v>
      </c>
      <c r="BN207" s="294">
        <v>6524</v>
      </c>
      <c r="BO207" s="294">
        <v>0</v>
      </c>
      <c r="BP207" s="294">
        <v>0</v>
      </c>
      <c r="BQ207" s="294">
        <v>6524</v>
      </c>
      <c r="BR207" s="294">
        <v>1427.8000000000002</v>
      </c>
      <c r="BS207" s="294">
        <v>2336</v>
      </c>
      <c r="BT207" s="294">
        <v>3763.8</v>
      </c>
      <c r="BU207" s="294">
        <v>0</v>
      </c>
      <c r="BV207" s="294">
        <v>0</v>
      </c>
      <c r="BW207" s="294">
        <v>0</v>
      </c>
      <c r="BX207" s="294">
        <v>0</v>
      </c>
      <c r="BY207" s="294">
        <v>0</v>
      </c>
      <c r="BZ207" s="294">
        <v>0</v>
      </c>
      <c r="CA207" s="294">
        <v>0</v>
      </c>
      <c r="CB207" s="294">
        <v>0</v>
      </c>
      <c r="CC207" s="294">
        <v>0</v>
      </c>
      <c r="CD207" s="294">
        <v>411321.15588224592</v>
      </c>
      <c r="CE207" s="294">
        <v>0</v>
      </c>
      <c r="CF207" s="294">
        <v>3763.8</v>
      </c>
      <c r="CG207" s="294">
        <v>0</v>
      </c>
      <c r="CH207" s="294">
        <v>0</v>
      </c>
      <c r="CI207" s="294">
        <f t="shared" si="3"/>
        <v>415084.95588224591</v>
      </c>
      <c r="CJ207" s="294">
        <v>681823.63</v>
      </c>
      <c r="CK207" s="294">
        <v>0</v>
      </c>
      <c r="CL207" s="294">
        <v>0</v>
      </c>
      <c r="CM207" s="294">
        <v>681823.63</v>
      </c>
      <c r="CN207" s="294">
        <v>0</v>
      </c>
      <c r="CO207" s="294">
        <v>0</v>
      </c>
      <c r="CP207" s="294">
        <v>16743.900000000001</v>
      </c>
      <c r="CQ207" s="294">
        <v>0</v>
      </c>
      <c r="CR207" s="294">
        <v>-241499.502995496</v>
      </c>
      <c r="CS207" s="294">
        <v>457068.02700450399</v>
      </c>
      <c r="CT207" s="294">
        <v>0</v>
      </c>
      <c r="CU207" s="294">
        <v>0</v>
      </c>
      <c r="CV207" s="294">
        <v>0</v>
      </c>
      <c r="CW207" s="294">
        <v>0</v>
      </c>
      <c r="CX207" s="294"/>
      <c r="CY207" s="294"/>
      <c r="CZ207" s="294"/>
      <c r="DA207" s="294">
        <v>0</v>
      </c>
      <c r="DB207" s="294">
        <v>0</v>
      </c>
      <c r="DC207" s="294">
        <v>0</v>
      </c>
      <c r="DD207" s="294">
        <v>14081.9</v>
      </c>
      <c r="DE207" s="294">
        <v>0</v>
      </c>
      <c r="DF207" s="294">
        <v>0</v>
      </c>
      <c r="DG207" s="294">
        <v>-6499.76</v>
      </c>
      <c r="DH207" s="294">
        <v>-49565.21</v>
      </c>
      <c r="DI207" s="294">
        <v>0</v>
      </c>
      <c r="DJ207" s="294">
        <v>0</v>
      </c>
      <c r="DK207" s="294">
        <v>-41983.07</v>
      </c>
      <c r="DL207" s="294">
        <v>0</v>
      </c>
      <c r="DM207" s="294">
        <v>0</v>
      </c>
      <c r="DN207" s="294">
        <v>0</v>
      </c>
      <c r="DO207" s="294">
        <v>0</v>
      </c>
      <c r="DP207" s="294">
        <v>0</v>
      </c>
      <c r="DQ207" s="324">
        <v>2.9954959754832089E-3</v>
      </c>
      <c r="DR207" s="295">
        <v>2602453.2000000002</v>
      </c>
      <c r="DS207" s="325">
        <v>833913.21411775285</v>
      </c>
      <c r="DT207" s="295">
        <v>107028.62000000001</v>
      </c>
      <c r="DU207" s="295">
        <v>144664.12999999995</v>
      </c>
      <c r="DV207" s="295">
        <v>0</v>
      </c>
      <c r="DW207" s="295">
        <v>0</v>
      </c>
    </row>
    <row r="208" spans="1:127">
      <c r="A208" s="321">
        <v>2231</v>
      </c>
      <c r="B208" s="322" t="s">
        <v>479</v>
      </c>
      <c r="C208" s="321">
        <v>2231</v>
      </c>
      <c r="D208" s="323" t="s">
        <v>817</v>
      </c>
      <c r="E208" s="323" t="s">
        <v>539</v>
      </c>
      <c r="F208" s="323" t="s">
        <v>818</v>
      </c>
      <c r="G208" s="323" t="s">
        <v>537</v>
      </c>
      <c r="H208" s="294">
        <v>2493540.91</v>
      </c>
      <c r="I208" s="294">
        <v>0</v>
      </c>
      <c r="J208" s="294">
        <v>41119.519999999997</v>
      </c>
      <c r="K208" s="294">
        <v>0</v>
      </c>
      <c r="L208" s="294">
        <v>234930</v>
      </c>
      <c r="M208" s="294">
        <v>5600</v>
      </c>
      <c r="N208" s="294">
        <v>0</v>
      </c>
      <c r="O208" s="294">
        <v>0</v>
      </c>
      <c r="P208" s="294">
        <v>45882.979999999989</v>
      </c>
      <c r="Q208" s="294">
        <v>45392.41</v>
      </c>
      <c r="R208" s="294">
        <v>0</v>
      </c>
      <c r="S208" s="294">
        <v>0</v>
      </c>
      <c r="T208" s="294">
        <v>24828.320000000003</v>
      </c>
      <c r="U208" s="294">
        <v>0</v>
      </c>
      <c r="V208" s="294">
        <v>0</v>
      </c>
      <c r="W208" s="294">
        <v>8030</v>
      </c>
      <c r="X208" s="294">
        <v>65305</v>
      </c>
      <c r="Y208" s="294">
        <v>2964629.14</v>
      </c>
      <c r="Z208" s="294">
        <v>1392567.0899999992</v>
      </c>
      <c r="AA208" s="294">
        <v>43027.290000000015</v>
      </c>
      <c r="AB208" s="294">
        <v>151320.89000000001</v>
      </c>
      <c r="AC208" s="294">
        <v>93244</v>
      </c>
      <c r="AD208" s="294">
        <v>130111.23</v>
      </c>
      <c r="AE208" s="294">
        <v>0</v>
      </c>
      <c r="AF208" s="294">
        <v>565892.42999999947</v>
      </c>
      <c r="AG208" s="294">
        <v>29730.149999999987</v>
      </c>
      <c r="AH208" s="294">
        <v>766</v>
      </c>
      <c r="AI208" s="294">
        <v>0</v>
      </c>
      <c r="AJ208" s="294">
        <v>0</v>
      </c>
      <c r="AK208" s="294">
        <v>6943.8700000000017</v>
      </c>
      <c r="AL208" s="294">
        <v>0</v>
      </c>
      <c r="AM208" s="294">
        <v>0</v>
      </c>
      <c r="AN208" s="294">
        <v>2350.16</v>
      </c>
      <c r="AO208" s="294">
        <v>22761.300000000003</v>
      </c>
      <c r="AP208" s="294">
        <v>25697.86</v>
      </c>
      <c r="AQ208" s="294">
        <v>12379.46</v>
      </c>
      <c r="AR208" s="294">
        <v>103285.20999999999</v>
      </c>
      <c r="AS208" s="294">
        <v>19741.080000000002</v>
      </c>
      <c r="AT208" s="294">
        <v>3040</v>
      </c>
      <c r="AU208" s="294">
        <v>15180.369999999997</v>
      </c>
      <c r="AV208" s="294">
        <v>9471</v>
      </c>
      <c r="AW208" s="294">
        <v>3220</v>
      </c>
      <c r="AX208" s="294">
        <v>227171.95</v>
      </c>
      <c r="AY208" s="294">
        <v>58890.119999999988</v>
      </c>
      <c r="AZ208" s="294">
        <v>10654.75</v>
      </c>
      <c r="BA208" s="294">
        <v>44224.74</v>
      </c>
      <c r="BB208" s="294">
        <v>0</v>
      </c>
      <c r="BC208" s="294">
        <v>0</v>
      </c>
      <c r="BD208" s="294">
        <v>0</v>
      </c>
      <c r="BE208" s="294">
        <v>2971670.9499999993</v>
      </c>
      <c r="BF208" s="294">
        <v>216573.10000000021</v>
      </c>
      <c r="BG208" s="294">
        <v>-7041.8099999991246</v>
      </c>
      <c r="BH208" s="294">
        <v>209531.29000000108</v>
      </c>
      <c r="BI208" s="294">
        <v>9069.25</v>
      </c>
      <c r="BJ208" s="294">
        <v>0</v>
      </c>
      <c r="BK208" s="294">
        <v>0</v>
      </c>
      <c r="BL208" s="294">
        <v>9069.25</v>
      </c>
      <c r="BM208" s="294">
        <v>0</v>
      </c>
      <c r="BN208" s="294">
        <v>2016.36</v>
      </c>
      <c r="BO208" s="294">
        <v>0</v>
      </c>
      <c r="BP208" s="294">
        <v>0</v>
      </c>
      <c r="BQ208" s="294">
        <v>2016.36</v>
      </c>
      <c r="BR208" s="294">
        <v>715.75</v>
      </c>
      <c r="BS208" s="294">
        <v>7052.89</v>
      </c>
      <c r="BT208" s="294">
        <v>7768.64</v>
      </c>
      <c r="BU208" s="294">
        <v>0</v>
      </c>
      <c r="BV208" s="294">
        <v>0</v>
      </c>
      <c r="BW208" s="294">
        <v>0</v>
      </c>
      <c r="BX208" s="294">
        <v>0</v>
      </c>
      <c r="BY208" s="294">
        <v>0</v>
      </c>
      <c r="BZ208" s="294">
        <v>0</v>
      </c>
      <c r="CA208" s="294">
        <v>0</v>
      </c>
      <c r="CB208" s="294">
        <v>0</v>
      </c>
      <c r="CC208" s="294">
        <v>0</v>
      </c>
      <c r="CD208" s="294">
        <v>209531.29000000108</v>
      </c>
      <c r="CE208" s="294">
        <v>0</v>
      </c>
      <c r="CF208" s="294">
        <v>7768.64</v>
      </c>
      <c r="CG208" s="294">
        <v>0</v>
      </c>
      <c r="CH208" s="294">
        <v>0</v>
      </c>
      <c r="CI208" s="294">
        <f t="shared" si="3"/>
        <v>217299.9300000011</v>
      </c>
      <c r="CJ208" s="294">
        <v>232711.74</v>
      </c>
      <c r="CK208" s="294">
        <v>0</v>
      </c>
      <c r="CL208" s="294">
        <v>0</v>
      </c>
      <c r="CM208" s="294">
        <v>232711.74</v>
      </c>
      <c r="CN208" s="294">
        <v>0</v>
      </c>
      <c r="CO208" s="294">
        <v>0</v>
      </c>
      <c r="CP208" s="294">
        <v>3722.19</v>
      </c>
      <c r="CQ208" s="294">
        <v>0</v>
      </c>
      <c r="CR208" s="294">
        <v>22886.520000000019</v>
      </c>
      <c r="CS208" s="294">
        <v>259320.45</v>
      </c>
      <c r="CT208" s="294">
        <v>0</v>
      </c>
      <c r="CU208" s="294">
        <v>0</v>
      </c>
      <c r="CV208" s="294">
        <v>0</v>
      </c>
      <c r="CW208" s="294">
        <v>0</v>
      </c>
      <c r="CX208" s="294"/>
      <c r="CY208" s="294"/>
      <c r="CZ208" s="294"/>
      <c r="DA208" s="294">
        <v>0</v>
      </c>
      <c r="DB208" s="294">
        <v>0</v>
      </c>
      <c r="DC208" s="294">
        <v>0</v>
      </c>
      <c r="DD208" s="294">
        <v>7137.42</v>
      </c>
      <c r="DE208" s="294">
        <v>0</v>
      </c>
      <c r="DF208" s="294">
        <v>0</v>
      </c>
      <c r="DG208" s="294">
        <v>0</v>
      </c>
      <c r="DH208" s="294">
        <v>-49157.94</v>
      </c>
      <c r="DI208" s="294">
        <v>0</v>
      </c>
      <c r="DJ208" s="294">
        <v>0</v>
      </c>
      <c r="DK208" s="294">
        <v>-42020.520000000004</v>
      </c>
      <c r="DL208" s="294">
        <v>0</v>
      </c>
      <c r="DM208" s="294">
        <v>0</v>
      </c>
      <c r="DN208" s="294">
        <v>0</v>
      </c>
      <c r="DO208" s="294">
        <v>0</v>
      </c>
      <c r="DP208" s="294">
        <v>0</v>
      </c>
      <c r="DQ208" s="324">
        <v>0</v>
      </c>
      <c r="DR208" s="295">
        <v>2405893.0799999987</v>
      </c>
      <c r="DS208" s="325">
        <v>565777.87000000058</v>
      </c>
      <c r="DT208" s="295">
        <v>58890.119999999988</v>
      </c>
      <c r="DU208" s="295">
        <v>116103.70999999999</v>
      </c>
      <c r="DV208" s="295">
        <v>0</v>
      </c>
      <c r="DW208" s="295">
        <v>0</v>
      </c>
    </row>
    <row r="209" spans="1:138" s="122" customFormat="1" ht="16" thickBot="1">
      <c r="A209" s="333" t="s">
        <v>824</v>
      </c>
      <c r="B209" s="334"/>
      <c r="C209" s="333" t="s">
        <v>824</v>
      </c>
      <c r="D209" s="335"/>
      <c r="E209" s="335"/>
      <c r="F209" s="335"/>
      <c r="G209" s="335"/>
      <c r="H209" s="336">
        <v>464098575.32517987</v>
      </c>
      <c r="I209" s="336">
        <v>6734535.4399999995</v>
      </c>
      <c r="J209" s="336">
        <v>68129143.543333337</v>
      </c>
      <c r="K209" s="336">
        <v>0</v>
      </c>
      <c r="L209" s="336">
        <v>37558053.560000002</v>
      </c>
      <c r="M209" s="336">
        <v>4342773.3400000045</v>
      </c>
      <c r="N209" s="336">
        <v>2229935.61</v>
      </c>
      <c r="O209" s="336">
        <v>1479196.3399999999</v>
      </c>
      <c r="P209" s="336">
        <v>17217623.730000004</v>
      </c>
      <c r="Q209" s="336">
        <v>4302705.21</v>
      </c>
      <c r="R209" s="336">
        <v>87135.01</v>
      </c>
      <c r="S209" s="336">
        <v>87078.6</v>
      </c>
      <c r="T209" s="336">
        <v>5458389.4000000013</v>
      </c>
      <c r="U209" s="336">
        <v>4990946.8499999987</v>
      </c>
      <c r="V209" s="336">
        <v>0</v>
      </c>
      <c r="W209" s="336">
        <v>1941023.4899999986</v>
      </c>
      <c r="X209" s="336">
        <v>9548918.1699999999</v>
      </c>
      <c r="Y209" s="336">
        <v>628206032.61851287</v>
      </c>
      <c r="Z209" s="336">
        <v>270940403.89050007</v>
      </c>
      <c r="AA209" s="336">
        <v>1174897.385</v>
      </c>
      <c r="AB209" s="336">
        <v>81304180.204000026</v>
      </c>
      <c r="AC209" s="336">
        <v>27856349.693999998</v>
      </c>
      <c r="AD209" s="336">
        <v>33075127.987000007</v>
      </c>
      <c r="AE209" s="336">
        <v>3205855.91</v>
      </c>
      <c r="AF209" s="336">
        <v>31824853.8125</v>
      </c>
      <c r="AG209" s="336">
        <v>2752149.4845000077</v>
      </c>
      <c r="AH209" s="336">
        <v>1604241.0554999998</v>
      </c>
      <c r="AI209" s="336">
        <v>32145.599999999999</v>
      </c>
      <c r="AJ209" s="336">
        <v>143406.75</v>
      </c>
      <c r="AK209" s="336">
        <v>10400268.04661775</v>
      </c>
      <c r="AL209" s="336">
        <v>695649.76549999986</v>
      </c>
      <c r="AM209" s="336">
        <v>4417240.8679999979</v>
      </c>
      <c r="AN209" s="336">
        <v>1618107.2145000005</v>
      </c>
      <c r="AO209" s="336">
        <v>11368483.159999998</v>
      </c>
      <c r="AP209" s="336">
        <v>4791927.97</v>
      </c>
      <c r="AQ209" s="336">
        <v>4730374.8448333358</v>
      </c>
      <c r="AR209" s="336">
        <v>25246798.662166692</v>
      </c>
      <c r="AS209" s="336">
        <v>4705578.9972549044</v>
      </c>
      <c r="AT209" s="336">
        <v>1930556.7985000005</v>
      </c>
      <c r="AU209" s="336">
        <v>9279169.3879131917</v>
      </c>
      <c r="AV209" s="336">
        <v>1915212.0504999997</v>
      </c>
      <c r="AW209" s="336">
        <v>2230935.8400000003</v>
      </c>
      <c r="AX209" s="336">
        <v>21640382.102500007</v>
      </c>
      <c r="AY209" s="336">
        <v>28740307.81200001</v>
      </c>
      <c r="AZ209" s="336">
        <v>5918606.5847499995</v>
      </c>
      <c r="BA209" s="336">
        <v>31212783.853</v>
      </c>
      <c r="BB209" s="336">
        <v>5929752.2399999984</v>
      </c>
      <c r="BC209" s="336">
        <v>28615.31</v>
      </c>
      <c r="BD209" s="336">
        <v>615916.08000000007</v>
      </c>
      <c r="BE209" s="336">
        <v>631311542.76103592</v>
      </c>
      <c r="BF209" s="336">
        <v>64036591.745567717</v>
      </c>
      <c r="BG209" s="336">
        <v>-3105509.1425226512</v>
      </c>
      <c r="BH209" s="336">
        <v>60931082.603045113</v>
      </c>
      <c r="BI209" s="336">
        <v>2079648.5599999991</v>
      </c>
      <c r="BJ209" s="336">
        <v>0</v>
      </c>
      <c r="BK209" s="336">
        <v>615916.08000000007</v>
      </c>
      <c r="BL209" s="336">
        <v>2695564.6399999987</v>
      </c>
      <c r="BM209" s="336">
        <v>60850.5</v>
      </c>
      <c r="BN209" s="336">
        <v>1770196.2</v>
      </c>
      <c r="BO209" s="336">
        <v>317885.85000000003</v>
      </c>
      <c r="BP209" s="336">
        <v>368486.04999999993</v>
      </c>
      <c r="BQ209" s="336">
        <v>2517419.5999999992</v>
      </c>
      <c r="BR209" s="336">
        <v>4197671.7400000012</v>
      </c>
      <c r="BS209" s="336">
        <v>178142.04000000004</v>
      </c>
      <c r="BT209" s="336">
        <v>4375814.7300000004</v>
      </c>
      <c r="BU209" s="336">
        <v>0</v>
      </c>
      <c r="BV209" s="336">
        <v>0</v>
      </c>
      <c r="BW209" s="336">
        <v>0</v>
      </c>
      <c r="BX209" s="336">
        <v>0</v>
      </c>
      <c r="BY209" s="336">
        <v>0</v>
      </c>
      <c r="BZ209" s="336">
        <v>0</v>
      </c>
      <c r="CA209" s="336">
        <v>0</v>
      </c>
      <c r="CB209" s="336">
        <v>0</v>
      </c>
      <c r="CC209" s="336">
        <v>0</v>
      </c>
      <c r="CD209" s="336">
        <v>61066438.049466684</v>
      </c>
      <c r="CE209" s="336">
        <v>0</v>
      </c>
      <c r="CF209" s="336">
        <v>4375814.7300000004</v>
      </c>
      <c r="CG209" s="336">
        <v>0</v>
      </c>
      <c r="CH209" s="336">
        <v>0</v>
      </c>
      <c r="CI209" s="336">
        <f>SUM(CI9:CI208)</f>
        <v>65038307.466466665</v>
      </c>
      <c r="CJ209" s="336">
        <v>87181890.239999995</v>
      </c>
      <c r="CK209" s="336">
        <v>9795890.2899999991</v>
      </c>
      <c r="CL209" s="336">
        <v>1117046.0500000005</v>
      </c>
      <c r="CM209" s="336">
        <v>79293707.069999993</v>
      </c>
      <c r="CN209" s="336">
        <v>19746.16</v>
      </c>
      <c r="CO209" s="336">
        <v>0</v>
      </c>
      <c r="CP209" s="336">
        <v>1894890.0199999998</v>
      </c>
      <c r="CQ209" s="336">
        <v>890284.75999999978</v>
      </c>
      <c r="CR209" s="336">
        <v>-15760852.145979576</v>
      </c>
      <c r="CS209" s="336">
        <v>66337778.834020443</v>
      </c>
      <c r="CT209" s="336">
        <v>15199724.309999997</v>
      </c>
      <c r="CU209" s="336">
        <v>11679.79</v>
      </c>
      <c r="CV209" s="336">
        <v>0</v>
      </c>
      <c r="CW209" s="336">
        <v>15188044.519999996</v>
      </c>
      <c r="CX209" s="336">
        <v>0</v>
      </c>
      <c r="CY209" s="336">
        <v>0</v>
      </c>
      <c r="CZ209" s="336">
        <v>0</v>
      </c>
      <c r="DA209" s="336">
        <v>-6087643.8259190647</v>
      </c>
      <c r="DB209" s="336">
        <v>9100400.6940809358</v>
      </c>
      <c r="DC209" s="336">
        <v>1453980.2300000002</v>
      </c>
      <c r="DD209" s="336">
        <v>2178790.7400000002</v>
      </c>
      <c r="DE209" s="336">
        <v>603052.15999999992</v>
      </c>
      <c r="DF209" s="336">
        <v>145069.26999999999</v>
      </c>
      <c r="DG209" s="336">
        <v>-4325779.5099999961</v>
      </c>
      <c r="DH209" s="336">
        <v>-3908573.9840000006</v>
      </c>
      <c r="DI209" s="336">
        <v>-461507.8</v>
      </c>
      <c r="DJ209" s="336">
        <v>-243061.25</v>
      </c>
      <c r="DK209" s="336">
        <v>-4409750.7939999998</v>
      </c>
      <c r="DL209" s="336">
        <v>293480.80000000005</v>
      </c>
      <c r="DM209" s="336">
        <v>352178.13</v>
      </c>
      <c r="DN209" s="336">
        <v>-552585.57999999996</v>
      </c>
      <c r="DO209" s="336">
        <v>-4749351.9899999993</v>
      </c>
      <c r="DP209" s="336">
        <v>-701680.43</v>
      </c>
      <c r="DQ209" s="336">
        <v>-30613.56071701142</v>
      </c>
      <c r="DR209" s="336">
        <v>441506005.34749973</v>
      </c>
      <c r="DS209" s="336">
        <v>173968437.56353578</v>
      </c>
      <c r="DT209" s="336">
        <v>28015650.302000016</v>
      </c>
      <c r="DU209" s="336">
        <v>27905215.979999989</v>
      </c>
      <c r="DV209" s="336">
        <v>5076280.3499999987</v>
      </c>
      <c r="DW209" s="336">
        <v>-5357959.0700000031</v>
      </c>
      <c r="DZ209" s="337"/>
      <c r="EA209" s="337"/>
      <c r="EH209" s="337"/>
    </row>
    <row r="210" spans="1:138" ht="16" thickTop="1">
      <c r="A210" s="159"/>
      <c r="B210" s="159"/>
      <c r="C210" s="159"/>
      <c r="D210" s="159" t="s">
        <v>229</v>
      </c>
      <c r="E210" s="159"/>
      <c r="F210" s="159" t="s">
        <v>231</v>
      </c>
      <c r="G210" s="159" t="s">
        <v>232</v>
      </c>
      <c r="H210" s="338" t="s">
        <v>19</v>
      </c>
      <c r="I210" s="338" t="s">
        <v>21</v>
      </c>
      <c r="J210" s="338" t="s">
        <v>23</v>
      </c>
      <c r="K210" s="338" t="s">
        <v>270</v>
      </c>
      <c r="L210" s="338" t="s">
        <v>25</v>
      </c>
      <c r="M210" s="338" t="s">
        <v>27</v>
      </c>
      <c r="N210" s="338" t="s">
        <v>29</v>
      </c>
      <c r="O210" s="338" t="s">
        <v>284</v>
      </c>
      <c r="P210" s="338" t="s">
        <v>285</v>
      </c>
      <c r="Q210" s="338" t="s">
        <v>31</v>
      </c>
      <c r="R210" s="338" t="s">
        <v>33</v>
      </c>
      <c r="S210" s="338" t="s">
        <v>35</v>
      </c>
      <c r="T210" s="338" t="s">
        <v>37</v>
      </c>
      <c r="U210" s="338" t="s">
        <v>39</v>
      </c>
      <c r="V210" s="338" t="s">
        <v>41</v>
      </c>
      <c r="W210" s="338" t="s">
        <v>276</v>
      </c>
      <c r="X210" s="338" t="s">
        <v>277</v>
      </c>
      <c r="Y210" s="338"/>
      <c r="Z210" s="338" t="s">
        <v>45</v>
      </c>
      <c r="AA210" s="338" t="s">
        <v>47</v>
      </c>
      <c r="AB210" s="338" t="s">
        <v>49</v>
      </c>
      <c r="AC210" s="338" t="s">
        <v>51</v>
      </c>
      <c r="AD210" s="338" t="s">
        <v>53</v>
      </c>
      <c r="AE210" s="338" t="s">
        <v>55</v>
      </c>
      <c r="AF210" s="338" t="s">
        <v>57</v>
      </c>
      <c r="AG210" s="338" t="s">
        <v>59</v>
      </c>
      <c r="AH210" s="338" t="s">
        <v>61</v>
      </c>
      <c r="AI210" s="338" t="s">
        <v>63</v>
      </c>
      <c r="AJ210" s="338" t="s">
        <v>65</v>
      </c>
      <c r="AK210" s="338" t="s">
        <v>67</v>
      </c>
      <c r="AL210" s="338" t="s">
        <v>69</v>
      </c>
      <c r="AM210" s="338" t="s">
        <v>71</v>
      </c>
      <c r="AN210" s="338" t="s">
        <v>73</v>
      </c>
      <c r="AO210" s="338" t="s">
        <v>75</v>
      </c>
      <c r="AP210" s="338" t="s">
        <v>77</v>
      </c>
      <c r="AQ210" s="338" t="s">
        <v>79</v>
      </c>
      <c r="AR210" s="338" t="s">
        <v>81</v>
      </c>
      <c r="AS210" s="338" t="s">
        <v>83</v>
      </c>
      <c r="AT210" s="338" t="s">
        <v>85</v>
      </c>
      <c r="AU210" s="338" t="s">
        <v>87</v>
      </c>
      <c r="AV210" s="338" t="s">
        <v>89</v>
      </c>
      <c r="AW210" s="338" t="s">
        <v>91</v>
      </c>
      <c r="AX210" s="338" t="s">
        <v>93</v>
      </c>
      <c r="AY210" s="338" t="s">
        <v>95</v>
      </c>
      <c r="AZ210" s="338" t="s">
        <v>97</v>
      </c>
      <c r="BA210" s="338" t="s">
        <v>282</v>
      </c>
      <c r="BB210" s="338" t="s">
        <v>283</v>
      </c>
      <c r="BC210" s="338" t="s">
        <v>99</v>
      </c>
      <c r="BD210" s="338" t="s">
        <v>101</v>
      </c>
      <c r="BE210" s="338"/>
      <c r="BF210" s="338"/>
      <c r="BG210" s="338"/>
      <c r="BH210" s="338"/>
      <c r="BI210" s="339" t="s">
        <v>109</v>
      </c>
      <c r="BJ210" s="339" t="s">
        <v>111</v>
      </c>
      <c r="BK210" s="339" t="s">
        <v>113</v>
      </c>
      <c r="BL210" s="339"/>
      <c r="BM210" s="339" t="s">
        <v>117</v>
      </c>
      <c r="BN210" s="339" t="s">
        <v>119</v>
      </c>
      <c r="BO210" s="339" t="s">
        <v>121</v>
      </c>
      <c r="BP210" s="339" t="s">
        <v>123</v>
      </c>
      <c r="BQ210" s="339"/>
      <c r="BR210" s="339"/>
      <c r="BS210" s="339"/>
      <c r="BT210" s="339"/>
      <c r="BU210" s="340" t="s">
        <v>131</v>
      </c>
      <c r="BV210" s="340" t="s">
        <v>133</v>
      </c>
      <c r="BW210" s="340"/>
      <c r="BX210" s="340" t="s">
        <v>137</v>
      </c>
      <c r="BY210" s="340" t="s">
        <v>139</v>
      </c>
      <c r="BZ210" s="340"/>
      <c r="CA210" s="340"/>
      <c r="CB210" s="340"/>
      <c r="CC210" s="340"/>
      <c r="CD210" s="341" t="s">
        <v>146</v>
      </c>
      <c r="CE210" s="341" t="s">
        <v>148</v>
      </c>
      <c r="CF210" s="341" t="s">
        <v>150</v>
      </c>
      <c r="CG210" s="341" t="s">
        <v>152</v>
      </c>
      <c r="CH210" s="341" t="s">
        <v>154</v>
      </c>
      <c r="CI210" s="341"/>
      <c r="CJ210" s="342"/>
      <c r="CK210" s="342"/>
      <c r="CL210" s="342"/>
      <c r="CM210" s="342"/>
      <c r="CN210" s="342"/>
      <c r="CO210" s="342"/>
      <c r="CP210" s="342"/>
      <c r="CQ210" s="342"/>
      <c r="CR210" s="342"/>
      <c r="CS210" s="342"/>
      <c r="CT210" s="343"/>
      <c r="CU210" s="343"/>
      <c r="CV210" s="343"/>
      <c r="CW210" s="343"/>
      <c r="CX210" s="343"/>
      <c r="CY210" s="343"/>
      <c r="CZ210" s="343"/>
      <c r="DA210" s="343"/>
      <c r="DB210" s="343"/>
      <c r="DC210" s="344"/>
      <c r="DD210" s="344"/>
      <c r="DE210" s="344"/>
      <c r="DF210" s="344"/>
      <c r="DG210" s="344"/>
      <c r="DH210" s="344"/>
      <c r="DI210" s="344"/>
      <c r="DJ210" s="344"/>
      <c r="DK210" s="344"/>
      <c r="DL210" s="345"/>
      <c r="DM210" s="345"/>
      <c r="DN210" s="346"/>
      <c r="DO210" s="346"/>
      <c r="DP210" s="347"/>
      <c r="DQ210" s="348"/>
      <c r="DS210" s="284"/>
      <c r="DT210" s="349"/>
    </row>
    <row r="211" spans="1:138">
      <c r="A211" s="350">
        <v>1415</v>
      </c>
      <c r="B211" s="129" t="s">
        <v>996</v>
      </c>
      <c r="C211" s="350">
        <v>1415</v>
      </c>
      <c r="D211" t="s">
        <v>817</v>
      </c>
      <c r="E211" t="s">
        <v>536</v>
      </c>
      <c r="F211" t="s">
        <v>818</v>
      </c>
      <c r="G211" t="s">
        <v>537</v>
      </c>
      <c r="H211" s="349">
        <v>700000</v>
      </c>
      <c r="I211" s="349">
        <v>0</v>
      </c>
      <c r="J211" s="349">
        <v>50000</v>
      </c>
      <c r="K211" s="349">
        <v>0</v>
      </c>
      <c r="L211" s="349">
        <v>0</v>
      </c>
      <c r="M211" s="349">
        <v>25000</v>
      </c>
      <c r="N211" s="349">
        <v>0</v>
      </c>
      <c r="O211" s="349">
        <v>0</v>
      </c>
      <c r="P211" s="349">
        <v>40000</v>
      </c>
      <c r="Q211" s="349">
        <v>0</v>
      </c>
      <c r="R211" s="349">
        <v>0</v>
      </c>
      <c r="S211" s="349">
        <v>0</v>
      </c>
      <c r="T211" s="349">
        <v>0</v>
      </c>
      <c r="U211" s="349">
        <v>12000</v>
      </c>
      <c r="V211" s="349">
        <v>0</v>
      </c>
      <c r="W211" s="349">
        <v>0</v>
      </c>
      <c r="X211" s="349">
        <v>0</v>
      </c>
      <c r="Y211" s="349">
        <f>SUM(H211:X211)</f>
        <v>827000</v>
      </c>
      <c r="Z211" s="349">
        <v>250000</v>
      </c>
      <c r="AA211" s="349">
        <v>0</v>
      </c>
      <c r="AB211" s="349">
        <v>151532.87000000002</v>
      </c>
      <c r="AC211" s="349">
        <v>27473.80999999991</v>
      </c>
      <c r="AD211" s="349">
        <v>123953.83</v>
      </c>
      <c r="AE211" s="349">
        <v>0</v>
      </c>
      <c r="AF211" s="349">
        <v>13325.549999999785</v>
      </c>
      <c r="AG211" s="349">
        <v>2045.7300000000059</v>
      </c>
      <c r="AH211" s="349">
        <v>7470.4</v>
      </c>
      <c r="AI211" s="349">
        <v>0</v>
      </c>
      <c r="AJ211" s="349">
        <v>0</v>
      </c>
      <c r="AK211" s="349">
        <v>37967.949999999997</v>
      </c>
      <c r="AL211" s="349">
        <v>4100.6099999999997</v>
      </c>
      <c r="AM211" s="349">
        <v>1481.8099999999997</v>
      </c>
      <c r="AN211" s="349">
        <v>1370.5</v>
      </c>
      <c r="AO211" s="349">
        <v>8715.82</v>
      </c>
      <c r="AP211" s="349">
        <v>0</v>
      </c>
      <c r="AQ211" s="349">
        <v>4523.67</v>
      </c>
      <c r="AR211" s="349">
        <v>14276.279999999992</v>
      </c>
      <c r="AS211" s="349">
        <v>654</v>
      </c>
      <c r="AT211" s="349">
        <v>0</v>
      </c>
      <c r="AU211" s="349">
        <v>52303.990000000005</v>
      </c>
      <c r="AV211" s="349">
        <v>3291.75</v>
      </c>
      <c r="AW211" s="349">
        <v>0</v>
      </c>
      <c r="AX211" s="349">
        <v>4533.130000000001</v>
      </c>
      <c r="AY211" s="349">
        <v>92015.560000000085</v>
      </c>
      <c r="AZ211" s="349">
        <v>0</v>
      </c>
      <c r="BA211" s="349">
        <v>66761.790000000008</v>
      </c>
      <c r="BB211" s="349">
        <v>0</v>
      </c>
      <c r="BC211" s="349">
        <v>0</v>
      </c>
      <c r="BD211" s="349">
        <v>0</v>
      </c>
      <c r="BE211" s="349">
        <f>SUM(Z211:BD211)</f>
        <v>867799.04999999981</v>
      </c>
      <c r="BF211" s="349">
        <v>206981.41000000003</v>
      </c>
      <c r="BG211" s="349">
        <f>Y211-BE211</f>
        <v>-40799.049999999814</v>
      </c>
      <c r="BH211" s="349">
        <f>BF211+BG211</f>
        <v>166182.36000000022</v>
      </c>
      <c r="BI211" s="349">
        <v>5000</v>
      </c>
      <c r="BJ211" s="349">
        <v>0</v>
      </c>
      <c r="BK211" s="349">
        <v>0</v>
      </c>
      <c r="BL211" s="349">
        <f>SUM(BI211:BK211)</f>
        <v>5000</v>
      </c>
      <c r="BM211" s="349">
        <v>0</v>
      </c>
      <c r="BN211" s="349">
        <v>2000</v>
      </c>
      <c r="BO211" s="349">
        <v>0</v>
      </c>
      <c r="BP211" s="349">
        <v>0</v>
      </c>
      <c r="BQ211" s="349">
        <f>SUM(BM211:BP211)</f>
        <v>2000</v>
      </c>
      <c r="BR211" s="349">
        <v>6000</v>
      </c>
      <c r="BS211" s="349">
        <f>BL211-BQ211</f>
        <v>3000</v>
      </c>
      <c r="BT211" s="349">
        <f>BR211+BS211</f>
        <v>9000</v>
      </c>
      <c r="BU211" s="349">
        <v>0</v>
      </c>
      <c r="BV211" s="349">
        <v>0</v>
      </c>
      <c r="BW211" s="349">
        <v>0</v>
      </c>
      <c r="BX211" s="349">
        <v>0</v>
      </c>
      <c r="BY211" s="349">
        <v>0</v>
      </c>
      <c r="BZ211" s="349">
        <v>0</v>
      </c>
      <c r="CA211" s="349">
        <v>0</v>
      </c>
      <c r="CB211" s="349">
        <v>0</v>
      </c>
      <c r="CC211" s="349">
        <v>0</v>
      </c>
      <c r="CD211" s="349">
        <v>269332.04000000015</v>
      </c>
      <c r="CE211" s="349"/>
      <c r="CF211" s="349">
        <v>29855.68</v>
      </c>
      <c r="CG211" s="349"/>
      <c r="CH211" s="349">
        <v>0</v>
      </c>
      <c r="CI211" s="349">
        <v>299187.72000000015</v>
      </c>
      <c r="CJ211" s="349">
        <v>351927.86</v>
      </c>
      <c r="CK211" s="349">
        <v>0</v>
      </c>
      <c r="CL211" s="349">
        <v>0</v>
      </c>
      <c r="CM211" s="349">
        <v>351927.86</v>
      </c>
      <c r="CN211" s="349">
        <v>0</v>
      </c>
      <c r="CO211" s="349">
        <v>0</v>
      </c>
      <c r="CP211" s="349">
        <v>0</v>
      </c>
      <c r="CQ211" s="349">
        <v>0</v>
      </c>
      <c r="CR211" s="349">
        <v>-58860.821199466096</v>
      </c>
      <c r="CS211" s="349">
        <v>293067.03880053386</v>
      </c>
      <c r="CT211" s="349">
        <v>0</v>
      </c>
      <c r="CU211" s="349">
        <v>0</v>
      </c>
      <c r="CV211" s="349">
        <v>0</v>
      </c>
      <c r="CW211" s="349">
        <v>0</v>
      </c>
      <c r="CX211" s="349"/>
      <c r="CY211" s="349"/>
      <c r="CZ211" s="349"/>
      <c r="DA211" s="349"/>
      <c r="DB211" s="349">
        <v>0</v>
      </c>
      <c r="DC211" s="349">
        <v>0</v>
      </c>
      <c r="DD211" s="349">
        <v>6246.3</v>
      </c>
      <c r="DE211" s="349">
        <v>0</v>
      </c>
      <c r="DF211" s="349">
        <v>0</v>
      </c>
      <c r="DG211" s="349">
        <v>0</v>
      </c>
      <c r="DH211" s="349">
        <v>-126</v>
      </c>
      <c r="DI211" s="349">
        <v>0</v>
      </c>
      <c r="DJ211" s="349">
        <v>0</v>
      </c>
      <c r="DK211" s="349">
        <v>6120.3</v>
      </c>
      <c r="DL211" s="349">
        <v>0</v>
      </c>
      <c r="DM211" s="349">
        <v>0</v>
      </c>
      <c r="DN211" s="349">
        <v>0</v>
      </c>
      <c r="DO211" s="349">
        <v>0</v>
      </c>
      <c r="DP211" s="349">
        <v>0</v>
      </c>
      <c r="DQ211" s="349">
        <v>1.1994661181233823E-3</v>
      </c>
      <c r="DR211">
        <v>680125.59999999963</v>
      </c>
      <c r="DS211" s="284">
        <v>299467.26000000013</v>
      </c>
      <c r="DT211" s="349">
        <v>92015.560000000085</v>
      </c>
      <c r="DU211">
        <v>36872.479999999996</v>
      </c>
      <c r="DV211">
        <v>12000</v>
      </c>
      <c r="DW211">
        <v>0</v>
      </c>
    </row>
    <row r="212" spans="1:138">
      <c r="H212" s="349">
        <v>0</v>
      </c>
      <c r="I212" s="349"/>
      <c r="J212" s="349"/>
      <c r="K212" s="349"/>
      <c r="L212" s="349"/>
      <c r="M212" s="349"/>
      <c r="N212" s="349"/>
      <c r="O212" s="349"/>
      <c r="P212" s="349">
        <v>23340.14</v>
      </c>
      <c r="Q212" s="349">
        <v>111853.65</v>
      </c>
      <c r="R212" s="349"/>
      <c r="S212" s="349"/>
      <c r="T212" s="349"/>
      <c r="U212" s="349"/>
      <c r="V212" s="349"/>
      <c r="W212" s="349"/>
      <c r="X212" s="349"/>
      <c r="Y212" s="349"/>
      <c r="Z212" s="349">
        <v>182662.96999999997</v>
      </c>
      <c r="AA212" s="349"/>
      <c r="AB212" s="349"/>
      <c r="AC212" s="349"/>
      <c r="AD212" s="349"/>
      <c r="AE212" s="349"/>
      <c r="AF212" s="349"/>
      <c r="AG212" s="349">
        <v>254.83</v>
      </c>
      <c r="AH212" s="349"/>
      <c r="AI212" s="349"/>
      <c r="AJ212" s="349"/>
      <c r="AK212" s="349">
        <v>2764.62</v>
      </c>
      <c r="AL212" s="349"/>
      <c r="AM212" s="349">
        <v>18641.900000000001</v>
      </c>
      <c r="AN212" s="349">
        <v>3520.99</v>
      </c>
      <c r="AO212" s="349"/>
      <c r="AP212" s="349"/>
      <c r="AQ212" s="349"/>
      <c r="AR212" s="349">
        <v>19105.920000000002</v>
      </c>
      <c r="AS212" s="349"/>
      <c r="AT212" s="349"/>
      <c r="AU212" s="349">
        <v>8035.36</v>
      </c>
      <c r="AV212" s="349"/>
      <c r="AW212" s="349"/>
      <c r="AX212" s="349">
        <v>3162725.4340000004</v>
      </c>
      <c r="AY212" s="349">
        <v>55446.95</v>
      </c>
      <c r="AZ212" s="349"/>
      <c r="BA212" s="349">
        <v>61894.259999999995</v>
      </c>
      <c r="BB212" s="349"/>
      <c r="BC212" s="349"/>
      <c r="BD212" s="349"/>
      <c r="BE212" s="349"/>
      <c r="BF212" s="349"/>
      <c r="BG212" s="349"/>
      <c r="BH212" s="349"/>
      <c r="BI212" s="349"/>
      <c r="BJ212" s="349"/>
      <c r="BK212" s="349"/>
      <c r="BL212" s="349"/>
      <c r="BM212" s="349"/>
      <c r="BN212" s="349"/>
      <c r="BO212" s="349"/>
      <c r="BP212" s="349"/>
      <c r="BQ212" s="349"/>
      <c r="BR212" s="349"/>
      <c r="BS212" s="349"/>
      <c r="BT212" s="349"/>
      <c r="BU212" s="349"/>
      <c r="BV212" s="349"/>
      <c r="BW212" s="349"/>
      <c r="BX212" s="349"/>
      <c r="BY212" s="349"/>
      <c r="BZ212" s="349"/>
      <c r="CA212" s="349"/>
      <c r="CB212" s="349"/>
      <c r="CC212" s="349"/>
      <c r="CD212" s="349"/>
      <c r="CE212" s="349"/>
      <c r="CF212" s="349"/>
      <c r="CG212" s="349"/>
      <c r="CH212" s="349"/>
      <c r="CI212" s="349"/>
      <c r="CJ212" s="349"/>
      <c r="CK212" s="349"/>
      <c r="CL212" s="349"/>
      <c r="CM212" s="349"/>
      <c r="CN212" s="349"/>
      <c r="CO212" s="349"/>
      <c r="CP212" s="349"/>
      <c r="CQ212" s="349"/>
      <c r="CR212" s="349"/>
      <c r="CS212" s="349"/>
      <c r="CT212" s="349"/>
      <c r="CU212" s="349"/>
      <c r="CV212" s="349"/>
      <c r="CW212" s="349"/>
      <c r="CX212" s="349"/>
      <c r="CY212" s="349"/>
      <c r="CZ212" s="349"/>
      <c r="DA212" s="349"/>
      <c r="DB212" s="349"/>
      <c r="DC212" s="349"/>
      <c r="DD212" s="349"/>
      <c r="DE212" s="349"/>
      <c r="DF212" s="349"/>
      <c r="DG212" s="349"/>
      <c r="DH212" s="349"/>
      <c r="DI212" s="349"/>
      <c r="DJ212" s="349"/>
      <c r="DK212" s="349"/>
      <c r="DL212" s="349"/>
      <c r="DM212" s="349"/>
      <c r="DN212" s="349"/>
      <c r="DO212" s="349"/>
      <c r="DP212" s="349"/>
      <c r="DQ212" s="349"/>
      <c r="DS212" s="284"/>
      <c r="DT212" s="349"/>
    </row>
    <row r="213" spans="1:138">
      <c r="H213" s="349"/>
      <c r="I213" s="349"/>
      <c r="J213" s="349"/>
      <c r="K213" s="349"/>
      <c r="L213" s="349"/>
      <c r="M213" s="349"/>
      <c r="N213" s="349"/>
      <c r="O213" s="349"/>
      <c r="P213" s="349"/>
      <c r="Q213" s="349"/>
      <c r="R213" s="349"/>
      <c r="S213" s="349"/>
      <c r="T213" s="349"/>
      <c r="U213" s="349"/>
      <c r="V213" s="349"/>
      <c r="W213" s="349"/>
      <c r="X213" s="349"/>
      <c r="Y213" s="349"/>
      <c r="Z213" s="349"/>
      <c r="AA213" s="349"/>
      <c r="AB213" s="349"/>
      <c r="AC213" s="349"/>
      <c r="AD213" s="349"/>
      <c r="AE213" s="349"/>
      <c r="AF213" s="349"/>
      <c r="AG213" s="349"/>
      <c r="AH213" s="349"/>
      <c r="AI213" s="349"/>
      <c r="AJ213" s="349"/>
      <c r="AK213" s="349"/>
      <c r="AL213" s="349"/>
      <c r="AM213" s="349"/>
      <c r="AN213" s="349"/>
      <c r="AO213" s="349"/>
      <c r="AP213" s="349"/>
      <c r="AQ213" s="349"/>
      <c r="AR213" s="349"/>
      <c r="AS213" s="349"/>
      <c r="AT213" s="349"/>
      <c r="AU213" s="349"/>
      <c r="AV213" s="349"/>
      <c r="AW213" s="349"/>
      <c r="AX213" s="349"/>
      <c r="AY213" s="349"/>
      <c r="AZ213" s="349"/>
      <c r="BA213" s="349"/>
      <c r="BB213" s="349"/>
      <c r="BC213" s="349"/>
      <c r="BD213" s="349"/>
      <c r="BE213" s="349"/>
      <c r="BF213" s="349"/>
      <c r="BG213" s="349"/>
      <c r="BH213" s="349"/>
      <c r="BI213" s="349"/>
      <c r="BJ213" s="349"/>
      <c r="BK213" s="349"/>
      <c r="BL213" s="349"/>
      <c r="BM213" s="349"/>
      <c r="BN213" s="349"/>
      <c r="BO213" s="349"/>
      <c r="BP213" s="349"/>
      <c r="BQ213" s="349"/>
      <c r="BR213" s="349"/>
      <c r="BS213" s="349"/>
      <c r="BT213" s="349"/>
      <c r="BU213" s="349"/>
      <c r="BV213" s="349"/>
      <c r="BW213" s="349"/>
      <c r="BX213" s="349"/>
      <c r="BY213" s="349"/>
      <c r="BZ213" s="349"/>
      <c r="CA213" s="349"/>
      <c r="CB213" s="349"/>
      <c r="CC213" s="349"/>
      <c r="CD213" s="349"/>
      <c r="CE213" s="349"/>
      <c r="CF213" s="349"/>
      <c r="CG213" s="349"/>
      <c r="CH213" s="349"/>
      <c r="CI213" s="349"/>
      <c r="CJ213" s="349"/>
      <c r="CK213" s="349"/>
      <c r="CL213" s="349"/>
      <c r="CM213" s="349"/>
      <c r="CN213" s="349"/>
      <c r="CO213" s="349"/>
      <c r="CP213" s="349"/>
      <c r="CQ213" s="349"/>
      <c r="CR213" s="349"/>
      <c r="CS213" s="349"/>
      <c r="CT213" s="349"/>
      <c r="CU213" s="349"/>
      <c r="CV213" s="349"/>
      <c r="CW213" s="349"/>
      <c r="CX213" s="349"/>
      <c r="CY213" s="349"/>
      <c r="CZ213" s="349"/>
      <c r="DA213" s="349"/>
      <c r="DB213" s="349"/>
      <c r="DC213" s="349"/>
      <c r="DD213" s="349"/>
      <c r="DE213" s="349"/>
      <c r="DF213" s="349"/>
      <c r="DG213" s="349"/>
      <c r="DH213" s="349"/>
      <c r="DI213" s="349"/>
      <c r="DJ213" s="349"/>
      <c r="DK213" s="349"/>
      <c r="DL213" s="349"/>
      <c r="DM213" s="349"/>
      <c r="DN213" s="349"/>
      <c r="DO213" s="349"/>
      <c r="DP213" s="349"/>
      <c r="DQ213" s="349"/>
      <c r="DS213" s="284"/>
      <c r="DT213" s="349"/>
    </row>
    <row r="214" spans="1:138">
      <c r="B214" s="725"/>
      <c r="C214" s="725"/>
      <c r="D214" s="725"/>
      <c r="BE214">
        <v>-7340199.0599999996</v>
      </c>
      <c r="DH214" s="294"/>
      <c r="DS214" s="284"/>
      <c r="DT214" s="349"/>
    </row>
  </sheetData>
  <mergeCells count="2">
    <mergeCell ref="A2:B2"/>
    <mergeCell ref="B214:D214"/>
  </mergeCells>
  <conditionalFormatting sqref="H9:DQ213 DH214">
    <cfRule type="cellIs" dxfId="4" priority="2" operator="equal">
      <formula>0</formula>
    </cfRule>
  </conditionalFormatting>
  <conditionalFormatting sqref="DR209:DW209">
    <cfRule type="cellIs" dxfId="3" priority="1" operator="equal">
      <formula>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F8600-19A9-45DF-9FF8-AD5DD0A2420E}">
  <sheetPr>
    <tabColor rgb="FFFF0000"/>
    <pageSetUpPr fitToPage="1"/>
  </sheetPr>
  <dimension ref="A1:AL145"/>
  <sheetViews>
    <sheetView topLeftCell="A45" zoomScale="90" zoomScaleNormal="90" workbookViewId="0">
      <selection activeCell="Q71" sqref="Q71:Q72"/>
    </sheetView>
  </sheetViews>
  <sheetFormatPr defaultColWidth="9.1796875" defaultRowHeight="12.5"/>
  <cols>
    <col min="1" max="1" width="26.453125" style="421" customWidth="1"/>
    <col min="2" max="2" width="11.81640625" style="422" customWidth="1"/>
    <col min="3" max="3" width="12.1796875" style="423" customWidth="1"/>
    <col min="4" max="4" width="14" style="423" customWidth="1"/>
    <col min="5" max="5" width="0.81640625" style="423" customWidth="1"/>
    <col min="6" max="8" width="13.1796875" style="423" customWidth="1"/>
    <col min="9" max="9" width="9.1796875" style="424" customWidth="1"/>
    <col min="10" max="10" width="0.81640625" style="423" customWidth="1"/>
    <col min="11" max="13" width="13.1796875" style="423" customWidth="1"/>
    <col min="14" max="14" width="0.81640625" style="423" customWidth="1"/>
    <col min="15" max="16" width="13.1796875" style="423" customWidth="1"/>
    <col min="17" max="17" width="10.54296875" style="556" customWidth="1"/>
    <col min="18" max="18" width="13.1796875" style="423" customWidth="1"/>
    <col min="19" max="19" width="9.1796875" style="423" customWidth="1"/>
    <col min="20" max="20" width="25.54296875" style="423" customWidth="1"/>
    <col min="21" max="21" width="0.81640625" style="571" customWidth="1"/>
    <col min="22" max="23" width="10.81640625" style="426" customWidth="1"/>
    <col min="24" max="25" width="5.54296875" style="427" customWidth="1"/>
    <col min="26" max="26" width="6.81640625" style="427" bestFit="1" customWidth="1"/>
    <col min="27" max="27" width="7.1796875" style="427" bestFit="1" customWidth="1"/>
    <col min="28" max="28" width="6.81640625" style="427" bestFit="1" customWidth="1"/>
    <col min="29" max="29" width="6.453125" style="427" bestFit="1" customWidth="1"/>
    <col min="30" max="31" width="7.1796875" style="427" bestFit="1" customWidth="1"/>
    <col min="32" max="33" width="6.81640625" style="427" bestFit="1" customWidth="1"/>
    <col min="34" max="34" width="7.1796875" style="427" bestFit="1" customWidth="1"/>
    <col min="35" max="36" width="6.81640625" style="427" bestFit="1" customWidth="1"/>
    <col min="37" max="37" width="7.1796875" style="427" bestFit="1" customWidth="1"/>
    <col min="38" max="38" width="9.1796875" style="427"/>
    <col min="39" max="16384" width="9.1796875" style="423"/>
  </cols>
  <sheetData>
    <row r="1" spans="1:38" ht="62">
      <c r="T1" s="425" t="s">
        <v>858</v>
      </c>
    </row>
    <row r="2" spans="1:38" ht="62">
      <c r="T2" s="425" t="s">
        <v>859</v>
      </c>
      <c r="Z2" s="428"/>
      <c r="AA2" s="428"/>
    </row>
    <row r="3" spans="1:38" ht="25">
      <c r="A3" s="572" t="s">
        <v>860</v>
      </c>
      <c r="B3" s="728" t="s">
        <v>460</v>
      </c>
      <c r="C3" s="728"/>
      <c r="D3" s="728"/>
      <c r="E3" s="728"/>
      <c r="F3" s="728"/>
      <c r="G3" s="728"/>
      <c r="H3" s="728"/>
      <c r="I3" s="573" t="s">
        <v>670</v>
      </c>
      <c r="J3" s="574"/>
      <c r="K3" s="575">
        <v>3386</v>
      </c>
      <c r="L3" s="576"/>
      <c r="M3" s="577" t="s">
        <v>861</v>
      </c>
      <c r="N3" s="574"/>
      <c r="O3" s="578" t="s">
        <v>290</v>
      </c>
      <c r="P3" s="579">
        <v>2</v>
      </c>
      <c r="Q3" s="587" t="s">
        <v>862</v>
      </c>
      <c r="T3" s="580"/>
      <c r="V3" s="581"/>
      <c r="Y3" s="582"/>
      <c r="Z3" s="582"/>
      <c r="AA3" s="582"/>
      <c r="AB3" s="582"/>
      <c r="AC3" s="582"/>
      <c r="AD3" s="582"/>
      <c r="AE3" s="582"/>
      <c r="AF3" s="582"/>
      <c r="AG3" s="582"/>
      <c r="AH3" s="582"/>
      <c r="AI3" s="582"/>
      <c r="AJ3" s="582"/>
      <c r="AK3" s="582"/>
    </row>
    <row r="4" spans="1:38" ht="18">
      <c r="A4" s="429"/>
      <c r="B4" s="430"/>
      <c r="G4" s="431"/>
      <c r="H4" s="431"/>
      <c r="K4" s="431"/>
      <c r="L4" s="432"/>
      <c r="M4" s="432"/>
      <c r="O4" s="433"/>
      <c r="P4" s="430"/>
      <c r="T4" s="433"/>
      <c r="V4" s="434"/>
      <c r="Y4" s="435"/>
      <c r="Z4" s="729" t="s">
        <v>863</v>
      </c>
      <c r="AA4" s="729"/>
      <c r="AB4" s="729"/>
      <c r="AC4" s="729"/>
      <c r="AD4" s="729"/>
      <c r="AE4" s="729"/>
      <c r="AF4" s="729"/>
      <c r="AG4" s="729"/>
      <c r="AH4" s="729"/>
      <c r="AI4" s="729"/>
      <c r="AJ4" s="729"/>
      <c r="AK4" s="729"/>
    </row>
    <row r="5" spans="1:38" ht="15.5">
      <c r="A5" s="436"/>
      <c r="B5" s="726" t="s">
        <v>864</v>
      </c>
      <c r="C5" s="726"/>
      <c r="D5" s="726"/>
      <c r="E5" s="437"/>
      <c r="F5" s="726" t="s">
        <v>865</v>
      </c>
      <c r="G5" s="726"/>
      <c r="H5" s="726"/>
      <c r="I5" s="726"/>
      <c r="J5" s="437"/>
      <c r="K5" s="726" t="s">
        <v>866</v>
      </c>
      <c r="L5" s="726"/>
      <c r="M5" s="726"/>
      <c r="N5" s="437"/>
      <c r="O5" s="726" t="s">
        <v>797</v>
      </c>
      <c r="P5" s="726"/>
      <c r="Q5" s="726"/>
      <c r="R5" s="726"/>
      <c r="S5" s="726"/>
      <c r="T5" s="726"/>
      <c r="V5" s="727" t="s">
        <v>867</v>
      </c>
      <c r="W5" s="727"/>
      <c r="Y5" s="435"/>
      <c r="Z5" s="438">
        <v>45383</v>
      </c>
      <c r="AA5" s="438">
        <v>45413</v>
      </c>
      <c r="AB5" s="438">
        <v>45444</v>
      </c>
      <c r="AC5" s="438">
        <v>45474</v>
      </c>
      <c r="AD5" s="438">
        <v>45505</v>
      </c>
      <c r="AE5" s="438">
        <v>45536</v>
      </c>
      <c r="AF5" s="438">
        <v>45566</v>
      </c>
      <c r="AG5" s="438">
        <v>45597</v>
      </c>
      <c r="AH5" s="438">
        <v>45627</v>
      </c>
      <c r="AI5" s="438">
        <v>45658</v>
      </c>
      <c r="AJ5" s="438">
        <v>45689</v>
      </c>
      <c r="AK5" s="438">
        <v>45717</v>
      </c>
    </row>
    <row r="6" spans="1:38" ht="39">
      <c r="A6" s="439" t="s">
        <v>868</v>
      </c>
      <c r="B6" s="440" t="s">
        <v>869</v>
      </c>
      <c r="C6" s="440" t="s">
        <v>870</v>
      </c>
      <c r="D6" s="440" t="s">
        <v>749</v>
      </c>
      <c r="E6" s="441"/>
      <c r="F6" s="440" t="s">
        <v>869</v>
      </c>
      <c r="G6" s="440" t="s">
        <v>870</v>
      </c>
      <c r="H6" s="440" t="s">
        <v>749</v>
      </c>
      <c r="I6" s="442" t="s">
        <v>871</v>
      </c>
      <c r="J6" s="441"/>
      <c r="K6" s="440" t="s">
        <v>872</v>
      </c>
      <c r="L6" s="440" t="s">
        <v>873</v>
      </c>
      <c r="M6" s="440" t="s">
        <v>874</v>
      </c>
      <c r="N6" s="441"/>
      <c r="O6" s="440" t="s">
        <v>875</v>
      </c>
      <c r="P6" s="440" t="s">
        <v>876</v>
      </c>
      <c r="Q6" s="557" t="s">
        <v>877</v>
      </c>
      <c r="R6" s="440" t="s">
        <v>878</v>
      </c>
      <c r="S6" s="442" t="s">
        <v>871</v>
      </c>
      <c r="T6" s="440" t="s">
        <v>160</v>
      </c>
      <c r="U6" s="583"/>
      <c r="V6" s="443" t="s">
        <v>879</v>
      </c>
      <c r="W6" s="443" t="s">
        <v>880</v>
      </c>
      <c r="Y6" s="435"/>
      <c r="Z6" s="440" t="s">
        <v>881</v>
      </c>
      <c r="AA6" s="440" t="s">
        <v>881</v>
      </c>
      <c r="AB6" s="440" t="s">
        <v>881</v>
      </c>
      <c r="AC6" s="440" t="s">
        <v>881</v>
      </c>
      <c r="AD6" s="440" t="s">
        <v>881</v>
      </c>
      <c r="AE6" s="440" t="s">
        <v>881</v>
      </c>
      <c r="AF6" s="440" t="s">
        <v>881</v>
      </c>
      <c r="AG6" s="440" t="s">
        <v>881</v>
      </c>
      <c r="AH6" s="440" t="s">
        <v>881</v>
      </c>
      <c r="AI6" s="440" t="s">
        <v>881</v>
      </c>
      <c r="AJ6" s="440" t="s">
        <v>881</v>
      </c>
      <c r="AK6" s="440" t="s">
        <v>881</v>
      </c>
    </row>
    <row r="7" spans="1:38" ht="13">
      <c r="A7" s="444" t="s">
        <v>323</v>
      </c>
      <c r="B7" s="441"/>
      <c r="C7" s="441"/>
      <c r="D7" s="441"/>
      <c r="E7" s="441"/>
      <c r="F7" s="441"/>
      <c r="G7" s="441"/>
      <c r="H7" s="441"/>
      <c r="I7" s="445"/>
      <c r="J7" s="441"/>
      <c r="K7" s="441"/>
      <c r="L7" s="441"/>
      <c r="M7" s="441"/>
      <c r="N7" s="441"/>
      <c r="O7" s="441"/>
      <c r="P7" s="441"/>
      <c r="Q7" s="557"/>
      <c r="R7" s="441"/>
      <c r="S7" s="445"/>
      <c r="T7" s="441"/>
      <c r="U7" s="583"/>
      <c r="V7" s="446"/>
      <c r="W7" s="446"/>
      <c r="Y7" s="435"/>
      <c r="Z7" s="441"/>
      <c r="AA7" s="441"/>
      <c r="AB7" s="441"/>
      <c r="AC7" s="441"/>
      <c r="AD7" s="441"/>
      <c r="AE7" s="441"/>
      <c r="AF7" s="441"/>
      <c r="AG7" s="441"/>
      <c r="AH7" s="441"/>
      <c r="AI7" s="441"/>
      <c r="AJ7" s="441"/>
      <c r="AK7" s="441"/>
    </row>
    <row r="8" spans="1:38" ht="13">
      <c r="A8" s="444" t="s">
        <v>882</v>
      </c>
      <c r="B8" s="441"/>
      <c r="C8" s="441"/>
      <c r="D8" s="441"/>
      <c r="E8" s="441"/>
      <c r="F8" s="441"/>
      <c r="G8" s="441"/>
      <c r="H8" s="441"/>
      <c r="I8" s="447"/>
      <c r="J8" s="441"/>
      <c r="K8" s="441"/>
      <c r="L8" s="441"/>
      <c r="M8" s="441"/>
      <c r="N8" s="441"/>
      <c r="O8" s="441"/>
      <c r="P8" s="441"/>
      <c r="Q8" s="557"/>
      <c r="R8" s="441"/>
      <c r="S8" s="447"/>
      <c r="T8" s="448"/>
      <c r="V8" s="446"/>
      <c r="W8" s="446"/>
      <c r="Y8" s="435"/>
      <c r="Z8" s="449"/>
      <c r="AA8" s="449"/>
      <c r="AB8" s="449"/>
      <c r="AC8" s="449"/>
      <c r="AD8" s="449"/>
      <c r="AE8" s="449"/>
      <c r="AF8" s="449"/>
      <c r="AG8" s="449"/>
      <c r="AH8" s="449"/>
      <c r="AI8" s="449"/>
      <c r="AJ8" s="449"/>
      <c r="AK8" s="449"/>
    </row>
    <row r="9" spans="1:38">
      <c r="A9" s="450" t="s">
        <v>883</v>
      </c>
      <c r="B9" s="451"/>
      <c r="C9" s="451"/>
      <c r="D9" s="451"/>
      <c r="E9" s="451"/>
      <c r="F9" s="451"/>
      <c r="G9" s="451"/>
      <c r="H9" s="451"/>
      <c r="I9" s="452" t="str">
        <f>IFERROR((F9/G9),"")</f>
        <v/>
      </c>
      <c r="J9" s="451"/>
      <c r="K9" s="451"/>
      <c r="L9" s="451"/>
      <c r="M9" s="451"/>
      <c r="N9" s="451"/>
      <c r="O9" s="451"/>
      <c r="P9" s="451"/>
      <c r="Q9" s="558"/>
      <c r="R9" s="451">
        <f>L9-Q9</f>
        <v>0</v>
      </c>
      <c r="S9" s="452" t="str">
        <f>IFERROR((R9/L9),"")</f>
        <v/>
      </c>
      <c r="T9" s="453"/>
      <c r="V9" s="454"/>
      <c r="W9" s="454">
        <f>+Q9-V9</f>
        <v>0</v>
      </c>
      <c r="Y9" s="435"/>
      <c r="Z9" s="455"/>
      <c r="AA9" s="455"/>
      <c r="AB9" s="455"/>
      <c r="AC9" s="455"/>
      <c r="AD9" s="455"/>
      <c r="AE9" s="455"/>
      <c r="AF9" s="455"/>
      <c r="AG9" s="455"/>
      <c r="AH9" s="455"/>
      <c r="AI9" s="455"/>
      <c r="AJ9" s="455"/>
      <c r="AK9" s="455"/>
    </row>
    <row r="10" spans="1:38">
      <c r="A10" s="450" t="s">
        <v>884</v>
      </c>
      <c r="B10" s="451"/>
      <c r="C10" s="451"/>
      <c r="D10" s="451"/>
      <c r="E10" s="451"/>
      <c r="F10" s="451"/>
      <c r="G10" s="451"/>
      <c r="H10" s="451"/>
      <c r="I10" s="452" t="str">
        <f t="shared" ref="I10:I12" si="0">IFERROR((F10/G10),"")</f>
        <v/>
      </c>
      <c r="J10" s="451"/>
      <c r="K10" s="451"/>
      <c r="L10" s="451"/>
      <c r="M10" s="451"/>
      <c r="N10" s="451"/>
      <c r="O10" s="451"/>
      <c r="P10" s="451"/>
      <c r="Q10" s="558"/>
      <c r="R10" s="451">
        <f t="shared" ref="R10:R11" si="1">L10-Q10</f>
        <v>0</v>
      </c>
      <c r="S10" s="452" t="str">
        <f t="shared" ref="S10:S12" si="2">IFERROR((R10/L10),"")</f>
        <v/>
      </c>
      <c r="T10" s="456"/>
      <c r="V10" s="454"/>
      <c r="W10" s="454">
        <f t="shared" ref="W10:W11" si="3">+Q10-V10</f>
        <v>0</v>
      </c>
      <c r="Y10" s="435"/>
      <c r="Z10" s="455"/>
      <c r="AA10" s="455"/>
      <c r="AB10" s="455"/>
      <c r="AC10" s="455"/>
      <c r="AD10" s="455"/>
      <c r="AE10" s="455"/>
      <c r="AF10" s="455"/>
      <c r="AG10" s="455"/>
      <c r="AH10" s="455"/>
      <c r="AI10" s="455"/>
      <c r="AJ10" s="455"/>
      <c r="AK10" s="455"/>
    </row>
    <row r="11" spans="1:38">
      <c r="A11" s="450" t="s">
        <v>885</v>
      </c>
      <c r="B11" s="451"/>
      <c r="C11" s="451"/>
      <c r="D11" s="451"/>
      <c r="E11" s="451"/>
      <c r="F11" s="451"/>
      <c r="G11" s="451"/>
      <c r="H11" s="451"/>
      <c r="I11" s="452" t="str">
        <f t="shared" si="0"/>
        <v/>
      </c>
      <c r="J11" s="451"/>
      <c r="K11" s="451"/>
      <c r="L11" s="451"/>
      <c r="M11" s="451"/>
      <c r="N11" s="451"/>
      <c r="O11" s="451"/>
      <c r="P11" s="451"/>
      <c r="Q11" s="558"/>
      <c r="R11" s="451">
        <f t="shared" si="1"/>
        <v>0</v>
      </c>
      <c r="S11" s="452" t="str">
        <f t="shared" si="2"/>
        <v/>
      </c>
      <c r="T11" s="456"/>
      <c r="V11" s="454"/>
      <c r="W11" s="454">
        <f t="shared" si="3"/>
        <v>0</v>
      </c>
      <c r="Y11" s="435"/>
      <c r="Z11" s="455"/>
      <c r="AA11" s="455"/>
      <c r="AB11" s="455"/>
      <c r="AC11" s="455"/>
      <c r="AD11" s="455"/>
      <c r="AE11" s="455"/>
      <c r="AF11" s="455"/>
      <c r="AG11" s="455"/>
      <c r="AH11" s="455"/>
      <c r="AI11" s="455"/>
      <c r="AJ11" s="455"/>
      <c r="AK11" s="455"/>
    </row>
    <row r="12" spans="1:38" s="466" customFormat="1" ht="13">
      <c r="A12" s="457" t="s">
        <v>886</v>
      </c>
      <c r="B12" s="458">
        <f t="shared" ref="B12:R12" si="4">SUM(B9:B11)</f>
        <v>0</v>
      </c>
      <c r="C12" s="458">
        <f t="shared" si="4"/>
        <v>0</v>
      </c>
      <c r="D12" s="458">
        <f t="shared" si="4"/>
        <v>0</v>
      </c>
      <c r="E12" s="459"/>
      <c r="F12" s="458">
        <f t="shared" si="4"/>
        <v>0</v>
      </c>
      <c r="G12" s="458">
        <f t="shared" si="4"/>
        <v>0</v>
      </c>
      <c r="H12" s="458">
        <f t="shared" si="4"/>
        <v>0</v>
      </c>
      <c r="I12" s="460" t="str">
        <f t="shared" si="0"/>
        <v/>
      </c>
      <c r="J12" s="459"/>
      <c r="K12" s="458">
        <f t="shared" si="4"/>
        <v>0</v>
      </c>
      <c r="L12" s="458">
        <f t="shared" si="4"/>
        <v>0</v>
      </c>
      <c r="M12" s="458">
        <f t="shared" si="4"/>
        <v>0</v>
      </c>
      <c r="N12" s="459"/>
      <c r="O12" s="458">
        <f t="shared" si="4"/>
        <v>0</v>
      </c>
      <c r="P12" s="458">
        <f t="shared" si="4"/>
        <v>0</v>
      </c>
      <c r="Q12" s="559">
        <f t="shared" si="4"/>
        <v>0</v>
      </c>
      <c r="R12" s="458">
        <f t="shared" si="4"/>
        <v>0</v>
      </c>
      <c r="S12" s="461" t="str">
        <f t="shared" si="2"/>
        <v/>
      </c>
      <c r="T12" s="462"/>
      <c r="U12" s="571"/>
      <c r="V12" s="463">
        <f t="shared" ref="V12:W12" si="5">SUM(V9:V11)</f>
        <v>0</v>
      </c>
      <c r="W12" s="463">
        <f t="shared" si="5"/>
        <v>0</v>
      </c>
      <c r="X12" s="427"/>
      <c r="Y12" s="435"/>
      <c r="Z12" s="464"/>
      <c r="AA12" s="464"/>
      <c r="AB12" s="464"/>
      <c r="AC12" s="464"/>
      <c r="AD12" s="464"/>
      <c r="AE12" s="464"/>
      <c r="AF12" s="464"/>
      <c r="AG12" s="464"/>
      <c r="AH12" s="464"/>
      <c r="AI12" s="464"/>
      <c r="AJ12" s="464"/>
      <c r="AK12" s="464"/>
      <c r="AL12" s="465"/>
    </row>
    <row r="13" spans="1:38" ht="13">
      <c r="A13" s="444" t="s">
        <v>887</v>
      </c>
      <c r="B13" s="451"/>
      <c r="C13" s="451"/>
      <c r="D13" s="451"/>
      <c r="E13" s="451"/>
      <c r="F13" s="451"/>
      <c r="G13" s="451"/>
      <c r="H13" s="451"/>
      <c r="I13" s="467"/>
      <c r="J13" s="451"/>
      <c r="K13" s="451"/>
      <c r="L13" s="451"/>
      <c r="M13" s="451"/>
      <c r="N13" s="451"/>
      <c r="O13" s="451"/>
      <c r="P13" s="451"/>
      <c r="Q13" s="560"/>
      <c r="R13" s="468"/>
      <c r="S13" s="469"/>
      <c r="T13" s="456"/>
      <c r="V13" s="454"/>
      <c r="Y13" s="435"/>
      <c r="Z13" s="455"/>
      <c r="AA13" s="455"/>
      <c r="AB13" s="455"/>
      <c r="AC13" s="455"/>
      <c r="AD13" s="455"/>
      <c r="AE13" s="455"/>
      <c r="AF13" s="455"/>
      <c r="AG13" s="455"/>
      <c r="AH13" s="455"/>
      <c r="AI13" s="455"/>
      <c r="AJ13" s="455"/>
      <c r="AK13" s="455"/>
    </row>
    <row r="14" spans="1:38">
      <c r="A14" s="450" t="s">
        <v>888</v>
      </c>
      <c r="B14" s="451"/>
      <c r="C14" s="451"/>
      <c r="D14" s="451"/>
      <c r="E14" s="451"/>
      <c r="F14" s="451"/>
      <c r="G14" s="451"/>
      <c r="H14" s="451"/>
      <c r="I14" s="452"/>
      <c r="J14" s="451"/>
      <c r="K14" s="451"/>
      <c r="L14" s="451"/>
      <c r="M14" s="451"/>
      <c r="N14" s="451"/>
      <c r="O14" s="451"/>
      <c r="P14" s="451"/>
      <c r="Q14" s="558"/>
      <c r="R14" s="451"/>
      <c r="S14" s="452" t="str">
        <f t="shared" ref="S14:S16" si="6">IFERROR((R14/L14),"")</f>
        <v/>
      </c>
      <c r="T14" s="456"/>
      <c r="V14" s="454"/>
      <c r="W14" s="454">
        <f t="shared" ref="W14:W15" si="7">+Q14-V14</f>
        <v>0</v>
      </c>
      <c r="Y14" s="435"/>
      <c r="Z14" s="455"/>
      <c r="AA14" s="455"/>
      <c r="AB14" s="455"/>
      <c r="AC14" s="455"/>
      <c r="AD14" s="455"/>
      <c r="AE14" s="455"/>
      <c r="AF14" s="455"/>
      <c r="AG14" s="455"/>
      <c r="AH14" s="455"/>
      <c r="AI14" s="455"/>
      <c r="AJ14" s="455"/>
      <c r="AK14" s="455"/>
    </row>
    <row r="15" spans="1:38" ht="23.5" customHeight="1">
      <c r="A15" s="450" t="s">
        <v>889</v>
      </c>
      <c r="B15" s="451"/>
      <c r="C15" s="451"/>
      <c r="D15" s="451"/>
      <c r="E15" s="451"/>
      <c r="F15" s="451"/>
      <c r="G15" s="451"/>
      <c r="H15" s="451"/>
      <c r="I15" s="452"/>
      <c r="J15" s="451"/>
      <c r="K15" s="451"/>
      <c r="L15" s="451"/>
      <c r="M15" s="451"/>
      <c r="N15" s="451"/>
      <c r="O15" s="451"/>
      <c r="P15" s="451"/>
      <c r="Q15" s="558"/>
      <c r="R15" s="451"/>
      <c r="S15" s="452" t="str">
        <f t="shared" si="6"/>
        <v/>
      </c>
      <c r="T15" s="456"/>
      <c r="V15" s="454"/>
      <c r="W15" s="454">
        <f t="shared" si="7"/>
        <v>0</v>
      </c>
      <c r="Y15" s="435"/>
      <c r="Z15" s="455"/>
      <c r="AA15" s="455"/>
      <c r="AB15" s="455"/>
      <c r="AC15" s="455"/>
      <c r="AD15" s="455"/>
      <c r="AE15" s="455"/>
      <c r="AF15" s="455"/>
      <c r="AG15" s="455"/>
      <c r="AH15" s="455"/>
      <c r="AI15" s="455"/>
      <c r="AJ15" s="455"/>
      <c r="AK15" s="455"/>
    </row>
    <row r="16" spans="1:38" s="466" customFormat="1" ht="13">
      <c r="A16" s="457" t="s">
        <v>890</v>
      </c>
      <c r="B16" s="458">
        <f t="shared" ref="B16:R16" si="8">SUM(B14:B15)</f>
        <v>0</v>
      </c>
      <c r="C16" s="458">
        <f t="shared" si="8"/>
        <v>0</v>
      </c>
      <c r="D16" s="458">
        <f t="shared" si="8"/>
        <v>0</v>
      </c>
      <c r="E16" s="459"/>
      <c r="F16" s="458">
        <f t="shared" si="8"/>
        <v>0</v>
      </c>
      <c r="G16" s="458">
        <f t="shared" si="8"/>
        <v>0</v>
      </c>
      <c r="H16" s="458">
        <f t="shared" si="8"/>
        <v>0</v>
      </c>
      <c r="I16" s="460" t="str">
        <f t="shared" ref="I16" si="9">IFERROR((F16/G16),"")</f>
        <v/>
      </c>
      <c r="J16" s="459"/>
      <c r="K16" s="458">
        <f t="shared" si="8"/>
        <v>0</v>
      </c>
      <c r="L16" s="458">
        <f t="shared" si="8"/>
        <v>0</v>
      </c>
      <c r="M16" s="458">
        <f t="shared" si="8"/>
        <v>0</v>
      </c>
      <c r="N16" s="459"/>
      <c r="O16" s="458">
        <f t="shared" si="8"/>
        <v>0</v>
      </c>
      <c r="P16" s="458">
        <f t="shared" si="8"/>
        <v>0</v>
      </c>
      <c r="Q16" s="559">
        <f t="shared" si="8"/>
        <v>0</v>
      </c>
      <c r="R16" s="458">
        <f t="shared" si="8"/>
        <v>0</v>
      </c>
      <c r="S16" s="461" t="str">
        <f t="shared" si="6"/>
        <v/>
      </c>
      <c r="T16" s="462"/>
      <c r="U16" s="571"/>
      <c r="V16" s="463">
        <f t="shared" ref="V16:W16" si="10">SUM(V14:V15)</f>
        <v>0</v>
      </c>
      <c r="W16" s="463">
        <f t="shared" si="10"/>
        <v>0</v>
      </c>
      <c r="X16" s="427"/>
      <c r="Y16" s="435"/>
      <c r="Z16" s="464"/>
      <c r="AA16" s="464"/>
      <c r="AB16" s="464"/>
      <c r="AC16" s="464"/>
      <c r="AD16" s="464"/>
      <c r="AE16" s="464"/>
      <c r="AF16" s="464"/>
      <c r="AG16" s="464"/>
      <c r="AH16" s="464"/>
      <c r="AI16" s="464"/>
      <c r="AJ16" s="464"/>
      <c r="AK16" s="464"/>
      <c r="AL16" s="465"/>
    </row>
    <row r="17" spans="1:38" ht="13">
      <c r="A17" s="444" t="s">
        <v>891</v>
      </c>
      <c r="B17" s="451"/>
      <c r="C17" s="451"/>
      <c r="D17" s="451"/>
      <c r="E17" s="451"/>
      <c r="F17" s="451"/>
      <c r="G17" s="451"/>
      <c r="H17" s="451"/>
      <c r="I17" s="467"/>
      <c r="J17" s="451"/>
      <c r="K17" s="451"/>
      <c r="L17" s="451"/>
      <c r="M17" s="451"/>
      <c r="N17" s="451"/>
      <c r="O17" s="451"/>
      <c r="P17" s="451"/>
      <c r="Q17" s="560"/>
      <c r="R17" s="468"/>
      <c r="S17" s="469"/>
      <c r="T17" s="456"/>
      <c r="V17" s="454"/>
      <c r="Y17" s="435"/>
      <c r="Z17" s="455"/>
      <c r="AA17" s="455"/>
      <c r="AB17" s="455"/>
      <c r="AC17" s="455"/>
      <c r="AD17" s="455"/>
      <c r="AE17" s="455"/>
      <c r="AF17" s="455"/>
      <c r="AG17" s="455"/>
      <c r="AH17" s="455"/>
      <c r="AI17" s="455"/>
      <c r="AJ17" s="455"/>
      <c r="AK17" s="455"/>
    </row>
    <row r="18" spans="1:38">
      <c r="A18" s="470" t="s">
        <v>892</v>
      </c>
      <c r="B18" s="451"/>
      <c r="C18" s="451"/>
      <c r="D18" s="451"/>
      <c r="E18" s="451"/>
      <c r="F18" s="451"/>
      <c r="G18" s="451"/>
      <c r="H18" s="451"/>
      <c r="I18" s="452"/>
      <c r="J18" s="451"/>
      <c r="K18" s="451"/>
      <c r="L18" s="451"/>
      <c r="M18" s="451"/>
      <c r="N18" s="451"/>
      <c r="O18" s="451"/>
      <c r="P18" s="451"/>
      <c r="Q18" s="558"/>
      <c r="R18" s="451"/>
      <c r="S18" s="452" t="str">
        <f t="shared" ref="S18:S23" si="11">IFERROR((R18/L18),"")</f>
        <v/>
      </c>
      <c r="T18" s="456"/>
      <c r="V18" s="454"/>
      <c r="W18" s="454">
        <f t="shared" ref="W18:W22" si="12">+Q18-V18</f>
        <v>0</v>
      </c>
      <c r="Y18" s="435"/>
      <c r="Z18" s="455"/>
      <c r="AA18" s="455"/>
      <c r="AB18" s="455"/>
      <c r="AC18" s="455"/>
      <c r="AD18" s="455"/>
      <c r="AE18" s="455"/>
      <c r="AF18" s="455"/>
      <c r="AG18" s="455"/>
      <c r="AH18" s="455"/>
      <c r="AI18" s="455"/>
      <c r="AJ18" s="455"/>
      <c r="AK18" s="455"/>
    </row>
    <row r="19" spans="1:38">
      <c r="A19" s="470" t="s">
        <v>893</v>
      </c>
      <c r="B19" s="451"/>
      <c r="C19" s="451"/>
      <c r="D19" s="451"/>
      <c r="E19" s="451"/>
      <c r="F19" s="451"/>
      <c r="G19" s="451"/>
      <c r="H19" s="451"/>
      <c r="I19" s="452"/>
      <c r="J19" s="451"/>
      <c r="K19" s="451"/>
      <c r="L19" s="451"/>
      <c r="M19" s="451"/>
      <c r="N19" s="451"/>
      <c r="O19" s="451"/>
      <c r="P19" s="451"/>
      <c r="Q19" s="558"/>
      <c r="R19" s="451"/>
      <c r="S19" s="452" t="str">
        <f t="shared" si="11"/>
        <v/>
      </c>
      <c r="T19" s="456"/>
      <c r="V19" s="454"/>
      <c r="W19" s="454">
        <f t="shared" si="12"/>
        <v>0</v>
      </c>
      <c r="Y19" s="435"/>
      <c r="Z19" s="455"/>
      <c r="AA19" s="455"/>
      <c r="AB19" s="455"/>
      <c r="AC19" s="455"/>
      <c r="AD19" s="455"/>
      <c r="AE19" s="455"/>
      <c r="AF19" s="455"/>
      <c r="AG19" s="455"/>
      <c r="AH19" s="455"/>
      <c r="AI19" s="455"/>
      <c r="AJ19" s="455"/>
      <c r="AK19" s="455"/>
    </row>
    <row r="20" spans="1:38">
      <c r="A20" s="470" t="s">
        <v>894</v>
      </c>
      <c r="B20" s="451"/>
      <c r="C20" s="451"/>
      <c r="D20" s="451"/>
      <c r="E20" s="451"/>
      <c r="F20" s="451"/>
      <c r="G20" s="451"/>
      <c r="H20" s="451"/>
      <c r="I20" s="452"/>
      <c r="J20" s="451"/>
      <c r="K20" s="451"/>
      <c r="L20" s="451"/>
      <c r="M20" s="451"/>
      <c r="N20" s="451"/>
      <c r="O20" s="451"/>
      <c r="P20" s="451"/>
      <c r="Q20" s="558"/>
      <c r="R20" s="451"/>
      <c r="S20" s="452" t="str">
        <f t="shared" si="11"/>
        <v/>
      </c>
      <c r="T20" s="456"/>
      <c r="V20" s="454"/>
      <c r="W20" s="454">
        <f t="shared" si="12"/>
        <v>0</v>
      </c>
      <c r="Y20" s="435"/>
      <c r="Z20" s="455"/>
      <c r="AA20" s="455"/>
      <c r="AB20" s="455"/>
      <c r="AC20" s="455"/>
      <c r="AD20" s="455"/>
      <c r="AE20" s="455"/>
      <c r="AF20" s="455"/>
      <c r="AG20" s="455"/>
      <c r="AH20" s="455"/>
      <c r="AI20" s="455"/>
      <c r="AJ20" s="455"/>
      <c r="AK20" s="455"/>
    </row>
    <row r="21" spans="1:38">
      <c r="A21" s="470" t="s">
        <v>895</v>
      </c>
      <c r="B21" s="451"/>
      <c r="C21" s="451"/>
      <c r="D21" s="451"/>
      <c r="E21" s="451"/>
      <c r="F21" s="451"/>
      <c r="G21" s="451"/>
      <c r="H21" s="451"/>
      <c r="I21" s="452"/>
      <c r="J21" s="451"/>
      <c r="K21" s="451"/>
      <c r="L21" s="451"/>
      <c r="M21" s="451"/>
      <c r="N21" s="451"/>
      <c r="O21" s="451"/>
      <c r="P21" s="451"/>
      <c r="Q21" s="558"/>
      <c r="R21" s="451"/>
      <c r="S21" s="452" t="str">
        <f t="shared" si="11"/>
        <v/>
      </c>
      <c r="T21" s="456"/>
      <c r="V21" s="454"/>
      <c r="W21" s="454">
        <f t="shared" si="12"/>
        <v>0</v>
      </c>
      <c r="Y21" s="435"/>
      <c r="Z21" s="455"/>
      <c r="AA21" s="455"/>
      <c r="AB21" s="455"/>
      <c r="AC21" s="455"/>
      <c r="AD21" s="455"/>
      <c r="AE21" s="455"/>
      <c r="AF21" s="455"/>
      <c r="AG21" s="455"/>
      <c r="AH21" s="455"/>
      <c r="AI21" s="455"/>
      <c r="AJ21" s="455"/>
      <c r="AK21" s="455"/>
    </row>
    <row r="22" spans="1:38">
      <c r="A22" s="470" t="s">
        <v>896</v>
      </c>
      <c r="B22" s="451"/>
      <c r="C22" s="451"/>
      <c r="D22" s="451"/>
      <c r="E22" s="451"/>
      <c r="F22" s="451"/>
      <c r="G22" s="451"/>
      <c r="H22" s="451"/>
      <c r="I22" s="452"/>
      <c r="J22" s="451"/>
      <c r="K22" s="451"/>
      <c r="L22" s="451"/>
      <c r="M22" s="451"/>
      <c r="N22" s="451"/>
      <c r="O22" s="451"/>
      <c r="P22" s="451"/>
      <c r="Q22" s="558"/>
      <c r="R22" s="451"/>
      <c r="S22" s="452" t="str">
        <f t="shared" si="11"/>
        <v/>
      </c>
      <c r="T22" s="456"/>
      <c r="V22" s="454"/>
      <c r="W22" s="454">
        <f t="shared" si="12"/>
        <v>0</v>
      </c>
      <c r="Y22" s="435"/>
      <c r="Z22" s="455"/>
      <c r="AA22" s="455"/>
      <c r="AB22" s="455"/>
      <c r="AC22" s="455"/>
      <c r="AD22" s="455"/>
      <c r="AE22" s="455"/>
      <c r="AF22" s="455"/>
      <c r="AG22" s="455"/>
      <c r="AH22" s="455"/>
      <c r="AI22" s="455"/>
      <c r="AJ22" s="455"/>
      <c r="AK22" s="455"/>
    </row>
    <row r="23" spans="1:38" s="466" customFormat="1" ht="13">
      <c r="A23" s="457" t="s">
        <v>897</v>
      </c>
      <c r="B23" s="458">
        <f>SUM(B18:B22)</f>
        <v>0</v>
      </c>
      <c r="C23" s="458">
        <f t="shared" ref="C23:D23" si="13">SUM(C18:C22)</f>
        <v>0</v>
      </c>
      <c r="D23" s="458">
        <f t="shared" si="13"/>
        <v>0</v>
      </c>
      <c r="E23" s="459"/>
      <c r="F23" s="458">
        <f t="shared" ref="F23:H23" si="14">SUM(F18:F22)</f>
        <v>0</v>
      </c>
      <c r="G23" s="458">
        <f t="shared" si="14"/>
        <v>0</v>
      </c>
      <c r="H23" s="458">
        <f t="shared" si="14"/>
        <v>0</v>
      </c>
      <c r="I23" s="460" t="str">
        <f t="shared" ref="I23" si="15">IFERROR((F23/G23),"")</f>
        <v/>
      </c>
      <c r="J23" s="459"/>
      <c r="K23" s="458">
        <f t="shared" ref="K23:M23" si="16">SUM(K18:K22)</f>
        <v>0</v>
      </c>
      <c r="L23" s="458">
        <f t="shared" si="16"/>
        <v>0</v>
      </c>
      <c r="M23" s="458">
        <f t="shared" si="16"/>
        <v>0</v>
      </c>
      <c r="N23" s="459"/>
      <c r="O23" s="458">
        <f t="shared" ref="O23:R23" si="17">SUM(O18:O22)</f>
        <v>0</v>
      </c>
      <c r="P23" s="458">
        <f t="shared" si="17"/>
        <v>0</v>
      </c>
      <c r="Q23" s="559">
        <f t="shared" si="17"/>
        <v>0</v>
      </c>
      <c r="R23" s="458">
        <f t="shared" si="17"/>
        <v>0</v>
      </c>
      <c r="S23" s="461" t="str">
        <f t="shared" si="11"/>
        <v/>
      </c>
      <c r="T23" s="462"/>
      <c r="U23" s="571"/>
      <c r="V23" s="463">
        <f t="shared" ref="V23:W23" si="18">SUM(V18:V22)</f>
        <v>0</v>
      </c>
      <c r="W23" s="463">
        <f t="shared" si="18"/>
        <v>0</v>
      </c>
      <c r="X23" s="427"/>
      <c r="Y23" s="435"/>
      <c r="Z23" s="464"/>
      <c r="AA23" s="464"/>
      <c r="AB23" s="464"/>
      <c r="AC23" s="464"/>
      <c r="AD23" s="464"/>
      <c r="AE23" s="464"/>
      <c r="AF23" s="464"/>
      <c r="AG23" s="464"/>
      <c r="AH23" s="464"/>
      <c r="AI23" s="464"/>
      <c r="AJ23" s="464"/>
      <c r="AK23" s="464"/>
      <c r="AL23" s="465"/>
    </row>
    <row r="24" spans="1:38" ht="13">
      <c r="A24" s="444" t="s">
        <v>898</v>
      </c>
      <c r="B24" s="451"/>
      <c r="C24" s="451"/>
      <c r="D24" s="451"/>
      <c r="E24" s="451"/>
      <c r="F24" s="451"/>
      <c r="G24" s="451"/>
      <c r="H24" s="451"/>
      <c r="I24" s="467"/>
      <c r="J24" s="451"/>
      <c r="K24" s="451"/>
      <c r="L24" s="451"/>
      <c r="M24" s="451"/>
      <c r="N24" s="451"/>
      <c r="O24" s="451"/>
      <c r="P24" s="451"/>
      <c r="Q24" s="560"/>
      <c r="R24" s="468"/>
      <c r="S24" s="469"/>
      <c r="T24" s="456"/>
      <c r="V24" s="454"/>
      <c r="Y24" s="435"/>
      <c r="Z24" s="455"/>
      <c r="AA24" s="455"/>
      <c r="AB24" s="455"/>
      <c r="AC24" s="455"/>
      <c r="AD24" s="455"/>
      <c r="AE24" s="455"/>
      <c r="AF24" s="455"/>
      <c r="AG24" s="455"/>
      <c r="AH24" s="455"/>
      <c r="AI24" s="455"/>
      <c r="AJ24" s="455"/>
      <c r="AK24" s="455"/>
    </row>
    <row r="25" spans="1:38">
      <c r="A25" s="470" t="s">
        <v>899</v>
      </c>
      <c r="B25" s="451"/>
      <c r="C25" s="451"/>
      <c r="D25" s="451"/>
      <c r="E25" s="451"/>
      <c r="F25" s="451"/>
      <c r="G25" s="451"/>
      <c r="H25" s="451"/>
      <c r="I25" s="452"/>
      <c r="J25" s="451"/>
      <c r="K25" s="451"/>
      <c r="L25" s="451"/>
      <c r="M25" s="451"/>
      <c r="N25" s="451"/>
      <c r="O25" s="451"/>
      <c r="P25" s="451"/>
      <c r="Q25" s="558"/>
      <c r="R25" s="451"/>
      <c r="S25" s="452"/>
      <c r="T25" s="456"/>
      <c r="V25" s="454"/>
      <c r="W25" s="454">
        <f t="shared" ref="W25:W28" si="19">+Q25-V25</f>
        <v>0</v>
      </c>
      <c r="Y25" s="435"/>
      <c r="Z25" s="455"/>
      <c r="AA25" s="455"/>
      <c r="AB25" s="455"/>
      <c r="AC25" s="455"/>
      <c r="AD25" s="455"/>
      <c r="AE25" s="455"/>
      <c r="AF25" s="455"/>
      <c r="AG25" s="455"/>
      <c r="AH25" s="455"/>
      <c r="AI25" s="455"/>
      <c r="AJ25" s="455"/>
      <c r="AK25" s="455"/>
    </row>
    <row r="26" spans="1:38">
      <c r="A26" s="470" t="s">
        <v>900</v>
      </c>
      <c r="B26" s="451"/>
      <c r="C26" s="451"/>
      <c r="D26" s="451"/>
      <c r="E26" s="451"/>
      <c r="F26" s="451"/>
      <c r="G26" s="451"/>
      <c r="H26" s="451"/>
      <c r="I26" s="452"/>
      <c r="J26" s="451"/>
      <c r="K26" s="451"/>
      <c r="L26" s="451"/>
      <c r="M26" s="451"/>
      <c r="N26" s="451"/>
      <c r="O26" s="451"/>
      <c r="P26" s="451"/>
      <c r="Q26" s="558"/>
      <c r="R26" s="451"/>
      <c r="S26" s="452"/>
      <c r="T26" s="456"/>
      <c r="V26" s="454"/>
      <c r="W26" s="454">
        <f t="shared" si="19"/>
        <v>0</v>
      </c>
      <c r="Y26" s="435"/>
      <c r="Z26" s="455"/>
      <c r="AA26" s="455"/>
      <c r="AB26" s="455"/>
      <c r="AC26" s="455"/>
      <c r="AD26" s="455"/>
      <c r="AE26" s="455"/>
      <c r="AF26" s="455"/>
      <c r="AG26" s="455"/>
      <c r="AH26" s="455"/>
      <c r="AI26" s="455"/>
      <c r="AJ26" s="455"/>
      <c r="AK26" s="455"/>
    </row>
    <row r="27" spans="1:38">
      <c r="A27" s="470" t="s">
        <v>901</v>
      </c>
      <c r="B27" s="451"/>
      <c r="C27" s="451"/>
      <c r="D27" s="451"/>
      <c r="E27" s="451"/>
      <c r="F27" s="451"/>
      <c r="G27" s="451"/>
      <c r="H27" s="451"/>
      <c r="I27" s="452"/>
      <c r="J27" s="451"/>
      <c r="K27" s="451"/>
      <c r="L27" s="451"/>
      <c r="M27" s="451"/>
      <c r="N27" s="451"/>
      <c r="O27" s="451"/>
      <c r="P27" s="451"/>
      <c r="Q27" s="558"/>
      <c r="R27" s="451"/>
      <c r="S27" s="452"/>
      <c r="T27" s="456"/>
      <c r="V27" s="454"/>
      <c r="W27" s="454">
        <f t="shared" si="19"/>
        <v>0</v>
      </c>
      <c r="Y27" s="435"/>
      <c r="Z27" s="455"/>
      <c r="AA27" s="455"/>
      <c r="AB27" s="455"/>
      <c r="AC27" s="455"/>
      <c r="AD27" s="455"/>
      <c r="AE27" s="455"/>
      <c r="AF27" s="455"/>
      <c r="AG27" s="455"/>
      <c r="AH27" s="455"/>
      <c r="AI27" s="455"/>
      <c r="AJ27" s="455"/>
      <c r="AK27" s="455"/>
    </row>
    <row r="28" spans="1:38">
      <c r="A28" s="470" t="s">
        <v>902</v>
      </c>
      <c r="B28" s="451"/>
      <c r="C28" s="451"/>
      <c r="D28" s="451"/>
      <c r="E28" s="451"/>
      <c r="F28" s="451"/>
      <c r="G28" s="451"/>
      <c r="H28" s="451"/>
      <c r="I28" s="452"/>
      <c r="J28" s="451"/>
      <c r="K28" s="451"/>
      <c r="L28" s="451"/>
      <c r="M28" s="451"/>
      <c r="N28" s="451"/>
      <c r="O28" s="451"/>
      <c r="P28" s="451"/>
      <c r="Q28" s="558"/>
      <c r="R28" s="451"/>
      <c r="S28" s="452"/>
      <c r="T28" s="456"/>
      <c r="V28" s="454"/>
      <c r="W28" s="454">
        <f t="shared" si="19"/>
        <v>0</v>
      </c>
      <c r="Y28" s="435"/>
      <c r="Z28" s="455"/>
      <c r="AA28" s="455"/>
      <c r="AB28" s="455"/>
      <c r="AC28" s="455"/>
      <c r="AD28" s="455"/>
      <c r="AE28" s="455"/>
      <c r="AF28" s="455"/>
      <c r="AG28" s="455"/>
      <c r="AH28" s="455"/>
      <c r="AI28" s="455"/>
      <c r="AJ28" s="455"/>
      <c r="AK28" s="455"/>
    </row>
    <row r="29" spans="1:38" s="466" customFormat="1" ht="13">
      <c r="A29" s="457" t="s">
        <v>903</v>
      </c>
      <c r="B29" s="458">
        <f t="shared" ref="B29:R29" si="20">SUM(B25:B28)</f>
        <v>0</v>
      </c>
      <c r="C29" s="458">
        <f t="shared" si="20"/>
        <v>0</v>
      </c>
      <c r="D29" s="458">
        <f t="shared" si="20"/>
        <v>0</v>
      </c>
      <c r="E29" s="459">
        <f t="shared" si="20"/>
        <v>0</v>
      </c>
      <c r="F29" s="458">
        <f t="shared" si="20"/>
        <v>0</v>
      </c>
      <c r="G29" s="458">
        <f t="shared" si="20"/>
        <v>0</v>
      </c>
      <c r="H29" s="458">
        <f t="shared" si="20"/>
        <v>0</v>
      </c>
      <c r="I29" s="460" t="str">
        <f t="shared" ref="I29" si="21">IFERROR((F29/G29),"")</f>
        <v/>
      </c>
      <c r="J29" s="459"/>
      <c r="K29" s="458">
        <f t="shared" si="20"/>
        <v>0</v>
      </c>
      <c r="L29" s="458">
        <f t="shared" si="20"/>
        <v>0</v>
      </c>
      <c r="M29" s="458">
        <f t="shared" si="20"/>
        <v>0</v>
      </c>
      <c r="N29" s="459">
        <f t="shared" si="20"/>
        <v>0</v>
      </c>
      <c r="O29" s="458">
        <f t="shared" si="20"/>
        <v>0</v>
      </c>
      <c r="P29" s="458">
        <f t="shared" si="20"/>
        <v>0</v>
      </c>
      <c r="Q29" s="559">
        <f t="shared" si="20"/>
        <v>0</v>
      </c>
      <c r="R29" s="458">
        <f t="shared" si="20"/>
        <v>0</v>
      </c>
      <c r="S29" s="461" t="str">
        <f t="shared" ref="S29" si="22">IFERROR((R29/L29),"")</f>
        <v/>
      </c>
      <c r="T29" s="462"/>
      <c r="U29" s="571"/>
      <c r="V29" s="463">
        <f t="shared" ref="V29:W29" si="23">SUM(V25:V28)</f>
        <v>0</v>
      </c>
      <c r="W29" s="463">
        <f t="shared" si="23"/>
        <v>0</v>
      </c>
      <c r="X29" s="427"/>
      <c r="Y29" s="435"/>
      <c r="Z29" s="464"/>
      <c r="AA29" s="464"/>
      <c r="AB29" s="464"/>
      <c r="AC29" s="464"/>
      <c r="AD29" s="464"/>
      <c r="AE29" s="464"/>
      <c r="AF29" s="464"/>
      <c r="AG29" s="464"/>
      <c r="AH29" s="464"/>
      <c r="AI29" s="464"/>
      <c r="AJ29" s="464"/>
      <c r="AK29" s="464"/>
      <c r="AL29" s="465"/>
    </row>
    <row r="30" spans="1:38" ht="13">
      <c r="A30" s="444" t="s">
        <v>904</v>
      </c>
      <c r="B30" s="451"/>
      <c r="C30" s="451"/>
      <c r="D30" s="451"/>
      <c r="E30" s="451"/>
      <c r="F30" s="451"/>
      <c r="G30" s="451"/>
      <c r="H30" s="451"/>
      <c r="I30" s="467"/>
      <c r="J30" s="451"/>
      <c r="K30" s="451"/>
      <c r="L30" s="451"/>
      <c r="M30" s="451"/>
      <c r="N30" s="451"/>
      <c r="O30" s="451"/>
      <c r="P30" s="451"/>
      <c r="Q30" s="560"/>
      <c r="R30" s="468"/>
      <c r="S30" s="469"/>
      <c r="T30" s="456"/>
      <c r="V30" s="454"/>
      <c r="Y30" s="435"/>
      <c r="Z30" s="455"/>
      <c r="AA30" s="455"/>
      <c r="AB30" s="455"/>
      <c r="AC30" s="455"/>
      <c r="AD30" s="455"/>
      <c r="AE30" s="455"/>
      <c r="AF30" s="455"/>
      <c r="AG30" s="455"/>
      <c r="AH30" s="455"/>
      <c r="AI30" s="455"/>
      <c r="AJ30" s="455"/>
      <c r="AK30" s="455"/>
    </row>
    <row r="31" spans="1:38" ht="20.5">
      <c r="A31" s="470" t="s">
        <v>905</v>
      </c>
      <c r="B31" s="451"/>
      <c r="C31" s="451"/>
      <c r="D31" s="451"/>
      <c r="E31" s="451"/>
      <c r="F31" s="451"/>
      <c r="G31" s="451"/>
      <c r="H31" s="451"/>
      <c r="I31" s="452"/>
      <c r="J31" s="451"/>
      <c r="K31" s="451"/>
      <c r="L31" s="451"/>
      <c r="M31" s="451"/>
      <c r="N31" s="451"/>
      <c r="O31" s="451"/>
      <c r="P31" s="451"/>
      <c r="Q31" s="558"/>
      <c r="R31" s="451"/>
      <c r="S31" s="452"/>
      <c r="T31" s="456"/>
      <c r="V31" s="454"/>
      <c r="W31" s="454">
        <f t="shared" ref="W31:W38" si="24">+Q31-V31</f>
        <v>0</v>
      </c>
      <c r="Y31" s="435"/>
      <c r="Z31" s="455"/>
      <c r="AA31" s="455"/>
      <c r="AB31" s="455"/>
      <c r="AC31" s="455"/>
      <c r="AD31" s="455"/>
      <c r="AE31" s="455"/>
      <c r="AF31" s="455"/>
      <c r="AG31" s="455"/>
      <c r="AH31" s="455"/>
      <c r="AI31" s="455"/>
      <c r="AJ31" s="455"/>
      <c r="AK31" s="455"/>
    </row>
    <row r="32" spans="1:38" ht="20.5">
      <c r="A32" s="470" t="s">
        <v>906</v>
      </c>
      <c r="B32" s="451"/>
      <c r="C32" s="451"/>
      <c r="D32" s="451"/>
      <c r="E32" s="451"/>
      <c r="F32" s="451"/>
      <c r="G32" s="451"/>
      <c r="H32" s="451"/>
      <c r="I32" s="452"/>
      <c r="J32" s="451"/>
      <c r="K32" s="451"/>
      <c r="L32" s="451"/>
      <c r="M32" s="451"/>
      <c r="N32" s="451"/>
      <c r="O32" s="451"/>
      <c r="P32" s="451"/>
      <c r="Q32" s="558"/>
      <c r="R32" s="451"/>
      <c r="S32" s="452"/>
      <c r="T32" s="456"/>
      <c r="V32" s="454"/>
      <c r="W32" s="454">
        <f t="shared" si="24"/>
        <v>0</v>
      </c>
      <c r="Y32" s="435"/>
      <c r="Z32" s="455"/>
      <c r="AA32" s="455"/>
      <c r="AB32" s="455"/>
      <c r="AC32" s="455"/>
      <c r="AD32" s="455"/>
      <c r="AE32" s="455"/>
      <c r="AF32" s="455"/>
      <c r="AG32" s="455"/>
      <c r="AH32" s="455"/>
      <c r="AI32" s="455"/>
      <c r="AJ32" s="455"/>
      <c r="AK32" s="455"/>
    </row>
    <row r="33" spans="1:38">
      <c r="A33" s="470" t="s">
        <v>907</v>
      </c>
      <c r="B33" s="451"/>
      <c r="C33" s="451"/>
      <c r="D33" s="451"/>
      <c r="E33" s="451"/>
      <c r="F33" s="451"/>
      <c r="G33" s="451"/>
      <c r="H33" s="451"/>
      <c r="I33" s="452"/>
      <c r="J33" s="451"/>
      <c r="K33" s="451"/>
      <c r="L33" s="451"/>
      <c r="M33" s="451"/>
      <c r="N33" s="451"/>
      <c r="O33" s="451"/>
      <c r="P33" s="451"/>
      <c r="Q33" s="558"/>
      <c r="R33" s="451"/>
      <c r="S33" s="452"/>
      <c r="T33" s="456"/>
      <c r="V33" s="454"/>
      <c r="W33" s="454">
        <f t="shared" si="24"/>
        <v>0</v>
      </c>
      <c r="Y33" s="435"/>
      <c r="Z33" s="455"/>
      <c r="AA33" s="455"/>
      <c r="AB33" s="455"/>
      <c r="AC33" s="455"/>
      <c r="AD33" s="455"/>
      <c r="AE33" s="455"/>
      <c r="AF33" s="455"/>
      <c r="AG33" s="455"/>
      <c r="AH33" s="455"/>
      <c r="AI33" s="455"/>
      <c r="AJ33" s="455"/>
      <c r="AK33" s="455"/>
    </row>
    <row r="34" spans="1:38">
      <c r="A34" s="470" t="s">
        <v>908</v>
      </c>
      <c r="B34" s="451"/>
      <c r="C34" s="451"/>
      <c r="D34" s="451"/>
      <c r="E34" s="451"/>
      <c r="F34" s="451"/>
      <c r="G34" s="451"/>
      <c r="H34" s="451"/>
      <c r="I34" s="452"/>
      <c r="J34" s="451"/>
      <c r="K34" s="451"/>
      <c r="L34" s="451"/>
      <c r="M34" s="451"/>
      <c r="N34" s="451"/>
      <c r="O34" s="451"/>
      <c r="P34" s="451"/>
      <c r="Q34" s="558"/>
      <c r="R34" s="451"/>
      <c r="S34" s="452"/>
      <c r="T34" s="456"/>
      <c r="V34" s="454"/>
      <c r="W34" s="454">
        <f t="shared" si="24"/>
        <v>0</v>
      </c>
      <c r="Y34" s="435"/>
      <c r="Z34" s="455"/>
      <c r="AA34" s="455"/>
      <c r="AB34" s="455"/>
      <c r="AC34" s="455"/>
      <c r="AD34" s="455"/>
      <c r="AE34" s="455"/>
      <c r="AF34" s="455"/>
      <c r="AG34" s="455"/>
      <c r="AH34" s="455"/>
      <c r="AI34" s="455"/>
      <c r="AJ34" s="455"/>
      <c r="AK34" s="455"/>
    </row>
    <row r="35" spans="1:38">
      <c r="A35" s="470" t="s">
        <v>909</v>
      </c>
      <c r="B35" s="451"/>
      <c r="C35" s="451"/>
      <c r="D35" s="451"/>
      <c r="E35" s="451"/>
      <c r="F35" s="451"/>
      <c r="G35" s="451"/>
      <c r="H35" s="451"/>
      <c r="I35" s="452"/>
      <c r="J35" s="451"/>
      <c r="K35" s="451"/>
      <c r="L35" s="451"/>
      <c r="M35" s="451"/>
      <c r="N35" s="451"/>
      <c r="O35" s="451"/>
      <c r="P35" s="451"/>
      <c r="Q35" s="558"/>
      <c r="R35" s="451"/>
      <c r="S35" s="452"/>
      <c r="T35" s="456"/>
      <c r="V35" s="454"/>
      <c r="W35" s="454">
        <f t="shared" si="24"/>
        <v>0</v>
      </c>
      <c r="Y35" s="435"/>
      <c r="Z35" s="455"/>
      <c r="AA35" s="455"/>
      <c r="AB35" s="455"/>
      <c r="AC35" s="455"/>
      <c r="AD35" s="455"/>
      <c r="AE35" s="455"/>
      <c r="AF35" s="455"/>
      <c r="AG35" s="455"/>
      <c r="AH35" s="455"/>
      <c r="AI35" s="455"/>
      <c r="AJ35" s="455"/>
      <c r="AK35" s="455"/>
    </row>
    <row r="36" spans="1:38">
      <c r="A36" s="470" t="s">
        <v>910</v>
      </c>
      <c r="B36" s="451"/>
      <c r="C36" s="451"/>
      <c r="D36" s="451"/>
      <c r="E36" s="451"/>
      <c r="F36" s="451"/>
      <c r="G36" s="451"/>
      <c r="H36" s="451"/>
      <c r="I36" s="452"/>
      <c r="J36" s="451"/>
      <c r="K36" s="451"/>
      <c r="L36" s="451"/>
      <c r="M36" s="451"/>
      <c r="N36" s="451"/>
      <c r="O36" s="451"/>
      <c r="P36" s="451"/>
      <c r="Q36" s="558"/>
      <c r="R36" s="451"/>
      <c r="S36" s="452"/>
      <c r="T36" s="456"/>
      <c r="V36" s="454"/>
      <c r="W36" s="454">
        <f t="shared" si="24"/>
        <v>0</v>
      </c>
      <c r="Y36" s="435"/>
      <c r="Z36" s="455"/>
      <c r="AA36" s="455"/>
      <c r="AB36" s="455"/>
      <c r="AC36" s="455"/>
      <c r="AD36" s="455"/>
      <c r="AE36" s="455"/>
      <c r="AF36" s="455"/>
      <c r="AG36" s="455"/>
      <c r="AH36" s="455"/>
      <c r="AI36" s="455"/>
      <c r="AJ36" s="455"/>
      <c r="AK36" s="455"/>
    </row>
    <row r="37" spans="1:38">
      <c r="A37" s="470" t="s">
        <v>911</v>
      </c>
      <c r="B37" s="451"/>
      <c r="C37" s="451"/>
      <c r="D37" s="451"/>
      <c r="E37" s="451"/>
      <c r="F37" s="451"/>
      <c r="G37" s="451"/>
      <c r="H37" s="451"/>
      <c r="I37" s="452"/>
      <c r="J37" s="451"/>
      <c r="K37" s="451"/>
      <c r="L37" s="451"/>
      <c r="M37" s="451"/>
      <c r="N37" s="451"/>
      <c r="O37" s="451"/>
      <c r="P37" s="451"/>
      <c r="Q37" s="558"/>
      <c r="R37" s="451"/>
      <c r="S37" s="452"/>
      <c r="T37" s="456"/>
      <c r="V37" s="454"/>
      <c r="W37" s="454">
        <f t="shared" si="24"/>
        <v>0</v>
      </c>
      <c r="Y37" s="435"/>
      <c r="Z37" s="455"/>
      <c r="AA37" s="455"/>
      <c r="AB37" s="455"/>
      <c r="AC37" s="455"/>
      <c r="AD37" s="455"/>
      <c r="AE37" s="455"/>
      <c r="AF37" s="455"/>
      <c r="AG37" s="455"/>
      <c r="AH37" s="455"/>
      <c r="AI37" s="455"/>
      <c r="AJ37" s="455"/>
      <c r="AK37" s="455"/>
    </row>
    <row r="38" spans="1:38">
      <c r="A38" s="470" t="s">
        <v>912</v>
      </c>
      <c r="B38" s="451"/>
      <c r="C38" s="451"/>
      <c r="D38" s="451"/>
      <c r="E38" s="451"/>
      <c r="F38" s="451"/>
      <c r="G38" s="451"/>
      <c r="H38" s="451"/>
      <c r="I38" s="452"/>
      <c r="J38" s="451"/>
      <c r="K38" s="451"/>
      <c r="L38" s="451"/>
      <c r="M38" s="451"/>
      <c r="N38" s="451"/>
      <c r="O38" s="451"/>
      <c r="P38" s="451"/>
      <c r="Q38" s="558"/>
      <c r="R38" s="451"/>
      <c r="S38" s="452"/>
      <c r="T38" s="456"/>
      <c r="V38" s="454"/>
      <c r="W38" s="454">
        <f t="shared" si="24"/>
        <v>0</v>
      </c>
      <c r="Y38" s="435"/>
      <c r="Z38" s="455"/>
      <c r="AA38" s="455"/>
      <c r="AB38" s="455"/>
      <c r="AC38" s="455"/>
      <c r="AD38" s="455"/>
      <c r="AE38" s="455"/>
      <c r="AF38" s="455"/>
      <c r="AG38" s="455"/>
      <c r="AH38" s="455"/>
      <c r="AI38" s="455"/>
      <c r="AJ38" s="455"/>
      <c r="AK38" s="455"/>
    </row>
    <row r="39" spans="1:38" s="466" customFormat="1" ht="13">
      <c r="A39" s="457" t="s">
        <v>913</v>
      </c>
      <c r="B39" s="458">
        <f t="shared" ref="B39:H39" si="25">SUM(B31:B38)</f>
        <v>0</v>
      </c>
      <c r="C39" s="458">
        <f t="shared" si="25"/>
        <v>0</v>
      </c>
      <c r="D39" s="458">
        <f t="shared" si="25"/>
        <v>0</v>
      </c>
      <c r="E39" s="459">
        <f t="shared" si="25"/>
        <v>0</v>
      </c>
      <c r="F39" s="458">
        <f t="shared" si="25"/>
        <v>0</v>
      </c>
      <c r="G39" s="458">
        <f t="shared" si="25"/>
        <v>0</v>
      </c>
      <c r="H39" s="458">
        <f t="shared" si="25"/>
        <v>0</v>
      </c>
      <c r="I39" s="460" t="str">
        <f t="shared" ref="I39" si="26">IFERROR((F39/G39),"")</f>
        <v/>
      </c>
      <c r="J39" s="459"/>
      <c r="K39" s="458">
        <f t="shared" ref="K39:R39" si="27">SUM(K31:K38)</f>
        <v>0</v>
      </c>
      <c r="L39" s="458">
        <f t="shared" si="27"/>
        <v>0</v>
      </c>
      <c r="M39" s="458">
        <f t="shared" si="27"/>
        <v>0</v>
      </c>
      <c r="N39" s="459">
        <f t="shared" si="27"/>
        <v>0</v>
      </c>
      <c r="O39" s="458">
        <f t="shared" si="27"/>
        <v>0</v>
      </c>
      <c r="P39" s="458">
        <f t="shared" si="27"/>
        <v>0</v>
      </c>
      <c r="Q39" s="559">
        <f t="shared" si="27"/>
        <v>0</v>
      </c>
      <c r="R39" s="458">
        <f t="shared" si="27"/>
        <v>0</v>
      </c>
      <c r="S39" s="461" t="str">
        <f t="shared" ref="S39" si="28">IFERROR((R39/L39),"")</f>
        <v/>
      </c>
      <c r="T39" s="462"/>
      <c r="U39" s="571"/>
      <c r="V39" s="463">
        <f>SUM(V31:V38)</f>
        <v>0</v>
      </c>
      <c r="W39" s="463">
        <f>SUM(W31:W38)</f>
        <v>0</v>
      </c>
      <c r="X39" s="427"/>
      <c r="Y39" s="435"/>
      <c r="Z39" s="464"/>
      <c r="AA39" s="464"/>
      <c r="AB39" s="464"/>
      <c r="AC39" s="464"/>
      <c r="AD39" s="464"/>
      <c r="AE39" s="464"/>
      <c r="AF39" s="464"/>
      <c r="AG39" s="464"/>
      <c r="AH39" s="464"/>
      <c r="AI39" s="464"/>
      <c r="AJ39" s="464"/>
      <c r="AK39" s="464"/>
      <c r="AL39" s="465"/>
    </row>
    <row r="40" spans="1:38" ht="13">
      <c r="A40" s="444" t="s">
        <v>914</v>
      </c>
      <c r="B40" s="451"/>
      <c r="C40" s="451"/>
      <c r="D40" s="451"/>
      <c r="E40" s="451"/>
      <c r="F40" s="451"/>
      <c r="G40" s="451"/>
      <c r="H40" s="451"/>
      <c r="I40" s="467"/>
      <c r="J40" s="451"/>
      <c r="K40" s="451"/>
      <c r="L40" s="451"/>
      <c r="M40" s="451"/>
      <c r="N40" s="451"/>
      <c r="O40" s="451"/>
      <c r="P40" s="451"/>
      <c r="Q40" s="560"/>
      <c r="R40" s="468"/>
      <c r="S40" s="469"/>
      <c r="T40" s="456"/>
      <c r="V40" s="454"/>
      <c r="W40" s="454">
        <f t="shared" ref="W40:W50" si="29">+Q40-V40</f>
        <v>0</v>
      </c>
      <c r="Y40" s="435"/>
      <c r="Z40" s="455"/>
      <c r="AA40" s="455"/>
      <c r="AB40" s="455"/>
      <c r="AC40" s="455"/>
      <c r="AD40" s="455"/>
      <c r="AE40" s="455"/>
      <c r="AF40" s="455"/>
      <c r="AG40" s="455"/>
      <c r="AH40" s="455"/>
      <c r="AI40" s="455"/>
      <c r="AJ40" s="455"/>
      <c r="AK40" s="455"/>
    </row>
    <row r="41" spans="1:38">
      <c r="A41" s="470" t="s">
        <v>915</v>
      </c>
      <c r="B41" s="451"/>
      <c r="C41" s="451"/>
      <c r="D41" s="451"/>
      <c r="E41" s="451"/>
      <c r="F41" s="451"/>
      <c r="G41" s="451"/>
      <c r="H41" s="451"/>
      <c r="I41" s="452"/>
      <c r="J41" s="451"/>
      <c r="K41" s="451"/>
      <c r="L41" s="451"/>
      <c r="M41" s="451"/>
      <c r="N41" s="451"/>
      <c r="O41" s="451"/>
      <c r="P41" s="451"/>
      <c r="Q41" s="558"/>
      <c r="R41" s="451"/>
      <c r="S41" s="452"/>
      <c r="T41" s="456"/>
      <c r="V41" s="454"/>
      <c r="W41" s="454">
        <f t="shared" si="29"/>
        <v>0</v>
      </c>
      <c r="Y41" s="435"/>
      <c r="Z41" s="455"/>
      <c r="AA41" s="455"/>
      <c r="AB41" s="455"/>
      <c r="AC41" s="455"/>
      <c r="AD41" s="455"/>
      <c r="AE41" s="455"/>
      <c r="AF41" s="455"/>
      <c r="AG41" s="455"/>
      <c r="AH41" s="455"/>
      <c r="AI41" s="455"/>
      <c r="AJ41" s="455"/>
      <c r="AK41" s="455"/>
    </row>
    <row r="42" spans="1:38">
      <c r="A42" s="470" t="s">
        <v>916</v>
      </c>
      <c r="B42" s="451"/>
      <c r="C42" s="451"/>
      <c r="D42" s="451"/>
      <c r="E42" s="451"/>
      <c r="F42" s="451"/>
      <c r="G42" s="451"/>
      <c r="H42" s="451"/>
      <c r="I42" s="452"/>
      <c r="J42" s="451"/>
      <c r="K42" s="451"/>
      <c r="L42" s="451"/>
      <c r="M42" s="451"/>
      <c r="N42" s="451"/>
      <c r="O42" s="451"/>
      <c r="P42" s="451"/>
      <c r="Q42" s="558"/>
      <c r="R42" s="451"/>
      <c r="S42" s="452"/>
      <c r="T42" s="456"/>
      <c r="V42" s="454"/>
      <c r="W42" s="454">
        <f t="shared" si="29"/>
        <v>0</v>
      </c>
      <c r="Y42" s="435"/>
      <c r="Z42" s="455"/>
      <c r="AA42" s="455"/>
      <c r="AB42" s="455"/>
      <c r="AC42" s="455"/>
      <c r="AD42" s="455"/>
      <c r="AE42" s="455"/>
      <c r="AF42" s="455"/>
      <c r="AG42" s="455"/>
      <c r="AH42" s="455"/>
      <c r="AI42" s="455"/>
      <c r="AJ42" s="455"/>
      <c r="AK42" s="455"/>
    </row>
    <row r="43" spans="1:38">
      <c r="A43" s="470" t="s">
        <v>917</v>
      </c>
      <c r="B43" s="451"/>
      <c r="C43" s="451"/>
      <c r="D43" s="451"/>
      <c r="E43" s="451"/>
      <c r="F43" s="451"/>
      <c r="G43" s="451"/>
      <c r="H43" s="451"/>
      <c r="I43" s="452"/>
      <c r="J43" s="451"/>
      <c r="K43" s="451"/>
      <c r="L43" s="451"/>
      <c r="M43" s="451"/>
      <c r="N43" s="451"/>
      <c r="O43" s="451"/>
      <c r="P43" s="451"/>
      <c r="Q43" s="558"/>
      <c r="R43" s="451"/>
      <c r="S43" s="452"/>
      <c r="T43" s="456"/>
      <c r="V43" s="454"/>
      <c r="W43" s="454">
        <f t="shared" si="29"/>
        <v>0</v>
      </c>
      <c r="Y43" s="435"/>
      <c r="Z43" s="455"/>
      <c r="AA43" s="455"/>
      <c r="AB43" s="455"/>
      <c r="AC43" s="455"/>
      <c r="AD43" s="455"/>
      <c r="AE43" s="455"/>
      <c r="AF43" s="455"/>
      <c r="AG43" s="455"/>
      <c r="AH43" s="455"/>
      <c r="AI43" s="455"/>
      <c r="AJ43" s="455"/>
      <c r="AK43" s="455"/>
    </row>
    <row r="44" spans="1:38">
      <c r="A44" s="470" t="s">
        <v>918</v>
      </c>
      <c r="B44" s="451"/>
      <c r="C44" s="451"/>
      <c r="D44" s="451"/>
      <c r="E44" s="451"/>
      <c r="F44" s="451"/>
      <c r="G44" s="451"/>
      <c r="H44" s="451"/>
      <c r="I44" s="452"/>
      <c r="J44" s="451"/>
      <c r="K44" s="451"/>
      <c r="L44" s="451"/>
      <c r="M44" s="451"/>
      <c r="N44" s="451"/>
      <c r="O44" s="451"/>
      <c r="P44" s="451"/>
      <c r="Q44" s="558"/>
      <c r="R44" s="451"/>
      <c r="S44" s="452"/>
      <c r="T44" s="456"/>
      <c r="V44" s="454"/>
      <c r="W44" s="454">
        <f t="shared" si="29"/>
        <v>0</v>
      </c>
      <c r="Y44" s="435"/>
      <c r="Z44" s="455"/>
      <c r="AA44" s="455"/>
      <c r="AB44" s="455"/>
      <c r="AC44" s="455"/>
      <c r="AD44" s="455"/>
      <c r="AE44" s="455"/>
      <c r="AF44" s="455"/>
      <c r="AG44" s="455"/>
      <c r="AH44" s="455"/>
      <c r="AI44" s="455"/>
      <c r="AJ44" s="455"/>
      <c r="AK44" s="455"/>
    </row>
    <row r="45" spans="1:38" ht="20.5">
      <c r="A45" s="470" t="s">
        <v>919</v>
      </c>
      <c r="B45" s="451"/>
      <c r="C45" s="451"/>
      <c r="D45" s="451"/>
      <c r="E45" s="451"/>
      <c r="F45" s="451"/>
      <c r="G45" s="451"/>
      <c r="H45" s="451"/>
      <c r="I45" s="452"/>
      <c r="J45" s="451"/>
      <c r="K45" s="451"/>
      <c r="L45" s="451"/>
      <c r="M45" s="451"/>
      <c r="N45" s="451"/>
      <c r="O45" s="451"/>
      <c r="P45" s="451"/>
      <c r="Q45" s="558"/>
      <c r="R45" s="451"/>
      <c r="S45" s="452"/>
      <c r="T45" s="456"/>
      <c r="V45" s="454"/>
      <c r="W45" s="454">
        <f t="shared" si="29"/>
        <v>0</v>
      </c>
      <c r="Y45" s="435"/>
      <c r="Z45" s="455"/>
      <c r="AA45" s="455"/>
      <c r="AB45" s="455"/>
      <c r="AC45" s="455"/>
      <c r="AD45" s="455"/>
      <c r="AE45" s="455"/>
      <c r="AF45" s="455"/>
      <c r="AG45" s="455"/>
      <c r="AH45" s="455"/>
      <c r="AI45" s="455"/>
      <c r="AJ45" s="455"/>
      <c r="AK45" s="455"/>
    </row>
    <row r="46" spans="1:38">
      <c r="A46" s="470" t="s">
        <v>920</v>
      </c>
      <c r="B46" s="451"/>
      <c r="C46" s="451"/>
      <c r="D46" s="451"/>
      <c r="E46" s="451"/>
      <c r="F46" s="451"/>
      <c r="G46" s="451"/>
      <c r="H46" s="451"/>
      <c r="I46" s="452"/>
      <c r="J46" s="451"/>
      <c r="K46" s="451"/>
      <c r="L46" s="451"/>
      <c r="M46" s="451"/>
      <c r="N46" s="451"/>
      <c r="O46" s="451"/>
      <c r="P46" s="451"/>
      <c r="Q46" s="558"/>
      <c r="R46" s="451"/>
      <c r="S46" s="452"/>
      <c r="T46" s="456"/>
      <c r="V46" s="454"/>
      <c r="W46" s="454">
        <f t="shared" si="29"/>
        <v>0</v>
      </c>
      <c r="Y46" s="435"/>
      <c r="Z46" s="455"/>
      <c r="AA46" s="455"/>
      <c r="AB46" s="455"/>
      <c r="AC46" s="455"/>
      <c r="AD46" s="455"/>
      <c r="AE46" s="455"/>
      <c r="AF46" s="455"/>
      <c r="AG46" s="455"/>
      <c r="AH46" s="455"/>
      <c r="AI46" s="455"/>
      <c r="AJ46" s="455"/>
      <c r="AK46" s="455"/>
    </row>
    <row r="47" spans="1:38">
      <c r="A47" s="470" t="s">
        <v>921</v>
      </c>
      <c r="B47" s="451"/>
      <c r="C47" s="451"/>
      <c r="D47" s="451"/>
      <c r="E47" s="451"/>
      <c r="F47" s="451"/>
      <c r="G47" s="451"/>
      <c r="H47" s="451"/>
      <c r="I47" s="452"/>
      <c r="J47" s="451"/>
      <c r="K47" s="451"/>
      <c r="L47" s="451"/>
      <c r="M47" s="451"/>
      <c r="N47" s="451"/>
      <c r="O47" s="451"/>
      <c r="P47" s="451"/>
      <c r="Q47" s="558"/>
      <c r="R47" s="451"/>
      <c r="S47" s="452"/>
      <c r="T47" s="456"/>
      <c r="V47" s="454"/>
      <c r="W47" s="454">
        <f t="shared" si="29"/>
        <v>0</v>
      </c>
      <c r="Y47" s="435"/>
      <c r="Z47" s="455"/>
      <c r="AA47" s="455"/>
      <c r="AB47" s="455"/>
      <c r="AC47" s="455"/>
      <c r="AD47" s="455"/>
      <c r="AE47" s="455"/>
      <c r="AF47" s="455"/>
      <c r="AG47" s="455"/>
      <c r="AH47" s="455"/>
      <c r="AI47" s="455"/>
      <c r="AJ47" s="455"/>
      <c r="AK47" s="455"/>
    </row>
    <row r="48" spans="1:38">
      <c r="A48" s="470" t="s">
        <v>922</v>
      </c>
      <c r="B48" s="451"/>
      <c r="C48" s="451"/>
      <c r="D48" s="451"/>
      <c r="E48" s="451"/>
      <c r="F48" s="451"/>
      <c r="G48" s="451"/>
      <c r="H48" s="451"/>
      <c r="I48" s="452"/>
      <c r="J48" s="451"/>
      <c r="K48" s="451"/>
      <c r="L48" s="451"/>
      <c r="M48" s="451"/>
      <c r="N48" s="451"/>
      <c r="O48" s="451"/>
      <c r="P48" s="451"/>
      <c r="Q48" s="558"/>
      <c r="R48" s="451"/>
      <c r="S48" s="452"/>
      <c r="T48" s="456"/>
      <c r="V48" s="454"/>
      <c r="W48" s="454">
        <f t="shared" si="29"/>
        <v>0</v>
      </c>
      <c r="Y48" s="435"/>
      <c r="Z48" s="455"/>
      <c r="AA48" s="455"/>
      <c r="AB48" s="455"/>
      <c r="AC48" s="455"/>
      <c r="AD48" s="455"/>
      <c r="AE48" s="455"/>
      <c r="AF48" s="455"/>
      <c r="AG48" s="455"/>
      <c r="AH48" s="455"/>
      <c r="AI48" s="455"/>
      <c r="AJ48" s="455"/>
      <c r="AK48" s="455"/>
    </row>
    <row r="49" spans="1:38">
      <c r="A49" s="470" t="s">
        <v>987</v>
      </c>
      <c r="B49" s="451"/>
      <c r="C49" s="451"/>
      <c r="D49" s="451"/>
      <c r="E49" s="451"/>
      <c r="F49" s="451"/>
      <c r="G49" s="451"/>
      <c r="H49" s="451"/>
      <c r="I49" s="452"/>
      <c r="J49" s="451"/>
      <c r="K49" s="451"/>
      <c r="L49" s="451"/>
      <c r="M49" s="451"/>
      <c r="N49" s="451"/>
      <c r="O49" s="451"/>
      <c r="P49" s="451"/>
      <c r="Q49" s="558"/>
      <c r="R49" s="451"/>
      <c r="S49" s="452"/>
      <c r="T49" s="456"/>
      <c r="V49" s="454"/>
      <c r="W49" s="454">
        <f t="shared" si="29"/>
        <v>0</v>
      </c>
      <c r="Y49" s="435"/>
      <c r="Z49" s="455"/>
      <c r="AA49" s="455"/>
      <c r="AB49" s="455"/>
      <c r="AC49" s="455"/>
      <c r="AD49" s="455"/>
      <c r="AE49" s="455"/>
      <c r="AF49" s="455"/>
      <c r="AG49" s="455"/>
      <c r="AH49" s="455"/>
      <c r="AI49" s="455"/>
      <c r="AJ49" s="455"/>
      <c r="AK49" s="455"/>
    </row>
    <row r="50" spans="1:38" ht="20.5">
      <c r="A50" s="470" t="s">
        <v>923</v>
      </c>
      <c r="B50" s="451"/>
      <c r="C50" s="451"/>
      <c r="D50" s="451"/>
      <c r="E50" s="451"/>
      <c r="F50" s="451"/>
      <c r="G50" s="451"/>
      <c r="H50" s="451"/>
      <c r="I50" s="452"/>
      <c r="J50" s="451"/>
      <c r="K50" s="451"/>
      <c r="L50" s="451"/>
      <c r="M50" s="451"/>
      <c r="N50" s="451"/>
      <c r="O50" s="451"/>
      <c r="P50" s="451"/>
      <c r="Q50" s="558"/>
      <c r="R50" s="451"/>
      <c r="S50" s="452"/>
      <c r="T50" s="456"/>
      <c r="V50" s="454"/>
      <c r="W50" s="454">
        <f t="shared" si="29"/>
        <v>0</v>
      </c>
      <c r="Y50" s="435"/>
      <c r="Z50" s="455"/>
      <c r="AA50" s="455"/>
      <c r="AB50" s="455"/>
      <c r="AC50" s="455"/>
      <c r="AD50" s="455"/>
      <c r="AE50" s="455"/>
      <c r="AF50" s="455"/>
      <c r="AG50" s="455"/>
      <c r="AH50" s="455"/>
      <c r="AI50" s="455"/>
      <c r="AJ50" s="455"/>
      <c r="AK50" s="455"/>
    </row>
    <row r="51" spans="1:38" s="466" customFormat="1" ht="13">
      <c r="A51" s="457" t="s">
        <v>924</v>
      </c>
      <c r="B51" s="458">
        <f t="shared" ref="B51:R51" si="30">SUM(B41:B50)</f>
        <v>0</v>
      </c>
      <c r="C51" s="458">
        <f t="shared" si="30"/>
        <v>0</v>
      </c>
      <c r="D51" s="458">
        <f t="shared" si="30"/>
        <v>0</v>
      </c>
      <c r="E51" s="459">
        <f t="shared" si="30"/>
        <v>0</v>
      </c>
      <c r="F51" s="458">
        <f t="shared" si="30"/>
        <v>0</v>
      </c>
      <c r="G51" s="458">
        <f t="shared" si="30"/>
        <v>0</v>
      </c>
      <c r="H51" s="458">
        <f t="shared" si="30"/>
        <v>0</v>
      </c>
      <c r="I51" s="460" t="str">
        <f t="shared" ref="I51" si="31">IFERROR((F51/G51),"")</f>
        <v/>
      </c>
      <c r="J51" s="459"/>
      <c r="K51" s="458">
        <f>SUM(K41:K50)</f>
        <v>0</v>
      </c>
      <c r="L51" s="458">
        <f t="shared" si="30"/>
        <v>0</v>
      </c>
      <c r="M51" s="458">
        <f t="shared" si="30"/>
        <v>0</v>
      </c>
      <c r="N51" s="459">
        <f t="shared" si="30"/>
        <v>0</v>
      </c>
      <c r="O51" s="458">
        <f t="shared" si="30"/>
        <v>0</v>
      </c>
      <c r="P51" s="458">
        <f t="shared" si="30"/>
        <v>0</v>
      </c>
      <c r="Q51" s="559">
        <f t="shared" si="30"/>
        <v>0</v>
      </c>
      <c r="R51" s="458">
        <f t="shared" si="30"/>
        <v>0</v>
      </c>
      <c r="S51" s="461" t="str">
        <f t="shared" ref="S51" si="32">IFERROR((R51/L51),"")</f>
        <v/>
      </c>
      <c r="T51" s="462"/>
      <c r="U51" s="571"/>
      <c r="V51" s="463">
        <f t="shared" ref="V51:W51" si="33">SUM(V41:V50)</f>
        <v>0</v>
      </c>
      <c r="W51" s="463">
        <f t="shared" si="33"/>
        <v>0</v>
      </c>
      <c r="X51" s="427"/>
      <c r="Y51" s="435"/>
      <c r="Z51" s="455"/>
      <c r="AA51" s="455"/>
      <c r="AB51" s="455"/>
      <c r="AC51" s="455"/>
      <c r="AD51" s="455"/>
      <c r="AE51" s="455"/>
      <c r="AF51" s="455"/>
      <c r="AG51" s="455"/>
      <c r="AH51" s="455"/>
      <c r="AI51" s="455"/>
      <c r="AJ51" s="455"/>
      <c r="AK51" s="455"/>
      <c r="AL51" s="427"/>
    </row>
    <row r="52" spans="1:38" ht="13">
      <c r="A52" s="444" t="s">
        <v>925</v>
      </c>
      <c r="B52" s="451"/>
      <c r="C52" s="451"/>
      <c r="D52" s="451"/>
      <c r="E52" s="451"/>
      <c r="F52" s="451"/>
      <c r="G52" s="451"/>
      <c r="H52" s="451"/>
      <c r="I52" s="467"/>
      <c r="J52" s="451"/>
      <c r="K52" s="451"/>
      <c r="L52" s="451"/>
      <c r="M52" s="451"/>
      <c r="N52" s="451"/>
      <c r="O52" s="451"/>
      <c r="P52" s="451"/>
      <c r="Q52" s="560"/>
      <c r="R52" s="468"/>
      <c r="S52" s="469"/>
      <c r="T52" s="456"/>
      <c r="V52" s="454"/>
      <c r="Y52" s="435"/>
      <c r="Z52" s="455"/>
      <c r="AA52" s="455"/>
      <c r="AB52" s="455"/>
      <c r="AC52" s="455"/>
      <c r="AD52" s="455"/>
      <c r="AE52" s="455"/>
      <c r="AF52" s="455"/>
      <c r="AG52" s="455"/>
      <c r="AH52" s="455"/>
      <c r="AI52" s="455"/>
      <c r="AJ52" s="455"/>
      <c r="AK52" s="455"/>
    </row>
    <row r="53" spans="1:38">
      <c r="A53" s="470" t="s">
        <v>926</v>
      </c>
      <c r="B53" s="451"/>
      <c r="C53" s="451"/>
      <c r="D53" s="451"/>
      <c r="E53" s="451"/>
      <c r="F53" s="451"/>
      <c r="G53" s="451"/>
      <c r="H53" s="451"/>
      <c r="I53" s="452"/>
      <c r="J53" s="451"/>
      <c r="K53" s="451"/>
      <c r="L53" s="451"/>
      <c r="M53" s="451"/>
      <c r="N53" s="451"/>
      <c r="O53" s="451"/>
      <c r="P53" s="451"/>
      <c r="Q53" s="558"/>
      <c r="R53" s="451"/>
      <c r="S53" s="452"/>
      <c r="T53" s="456"/>
      <c r="V53" s="454"/>
      <c r="W53" s="454">
        <f t="shared" ref="W53:W59" si="34">+Q53-V53</f>
        <v>0</v>
      </c>
      <c r="Y53" s="435"/>
      <c r="Z53" s="455"/>
      <c r="AA53" s="455"/>
      <c r="AB53" s="455"/>
      <c r="AC53" s="455"/>
      <c r="AD53" s="455"/>
      <c r="AE53" s="455"/>
      <c r="AF53" s="455"/>
      <c r="AG53" s="455"/>
      <c r="AH53" s="455"/>
      <c r="AI53" s="455"/>
      <c r="AJ53" s="455"/>
      <c r="AK53" s="455"/>
    </row>
    <row r="54" spans="1:38">
      <c r="A54" s="470" t="s">
        <v>927</v>
      </c>
      <c r="B54" s="451"/>
      <c r="C54" s="451"/>
      <c r="D54" s="451"/>
      <c r="E54" s="451"/>
      <c r="F54" s="451"/>
      <c r="G54" s="451"/>
      <c r="H54" s="451"/>
      <c r="I54" s="452"/>
      <c r="J54" s="451"/>
      <c r="K54" s="451"/>
      <c r="L54" s="451"/>
      <c r="M54" s="451"/>
      <c r="N54" s="451"/>
      <c r="O54" s="451"/>
      <c r="P54" s="451"/>
      <c r="Q54" s="558"/>
      <c r="R54" s="451"/>
      <c r="S54" s="452"/>
      <c r="T54" s="456"/>
      <c r="V54" s="454"/>
      <c r="W54" s="454">
        <f t="shared" si="34"/>
        <v>0</v>
      </c>
      <c r="Y54" s="435"/>
      <c r="Z54" s="455"/>
      <c r="AA54" s="455"/>
      <c r="AB54" s="455"/>
      <c r="AC54" s="455"/>
      <c r="AD54" s="455"/>
      <c r="AE54" s="455"/>
      <c r="AF54" s="455"/>
      <c r="AG54" s="455"/>
      <c r="AH54" s="455"/>
      <c r="AI54" s="455"/>
      <c r="AJ54" s="455"/>
      <c r="AK54" s="455"/>
    </row>
    <row r="55" spans="1:38">
      <c r="A55" s="470" t="s">
        <v>928</v>
      </c>
      <c r="B55" s="451"/>
      <c r="C55" s="451"/>
      <c r="D55" s="451"/>
      <c r="E55" s="451"/>
      <c r="F55" s="451"/>
      <c r="G55" s="451"/>
      <c r="H55" s="451"/>
      <c r="I55" s="452"/>
      <c r="J55" s="451"/>
      <c r="K55" s="451"/>
      <c r="L55" s="451"/>
      <c r="M55" s="451"/>
      <c r="N55" s="451"/>
      <c r="O55" s="451"/>
      <c r="P55" s="451"/>
      <c r="Q55" s="558"/>
      <c r="R55" s="451"/>
      <c r="S55" s="452"/>
      <c r="T55" s="456"/>
      <c r="V55" s="454"/>
      <c r="W55" s="454">
        <f t="shared" si="34"/>
        <v>0</v>
      </c>
      <c r="Y55" s="435"/>
      <c r="Z55" s="455"/>
      <c r="AA55" s="455"/>
      <c r="AB55" s="455"/>
      <c r="AC55" s="455"/>
      <c r="AD55" s="455"/>
      <c r="AE55" s="455"/>
      <c r="AF55" s="455"/>
      <c r="AG55" s="455"/>
      <c r="AH55" s="455"/>
      <c r="AI55" s="455"/>
      <c r="AJ55" s="455"/>
      <c r="AK55" s="455"/>
    </row>
    <row r="56" spans="1:38" ht="20.5">
      <c r="A56" s="470" t="s">
        <v>929</v>
      </c>
      <c r="B56" s="451"/>
      <c r="C56" s="451"/>
      <c r="D56" s="451"/>
      <c r="E56" s="451"/>
      <c r="F56" s="451"/>
      <c r="G56" s="451"/>
      <c r="H56" s="451"/>
      <c r="I56" s="452"/>
      <c r="J56" s="451"/>
      <c r="K56" s="451"/>
      <c r="L56" s="451"/>
      <c r="M56" s="451"/>
      <c r="N56" s="451"/>
      <c r="O56" s="451"/>
      <c r="P56" s="451"/>
      <c r="Q56" s="558"/>
      <c r="R56" s="451"/>
      <c r="S56" s="452"/>
      <c r="T56" s="456"/>
      <c r="V56" s="454"/>
      <c r="W56" s="454">
        <f t="shared" si="34"/>
        <v>0</v>
      </c>
      <c r="Y56" s="435"/>
      <c r="Z56" s="455"/>
      <c r="AA56" s="455"/>
      <c r="AB56" s="455"/>
      <c r="AC56" s="455"/>
      <c r="AD56" s="455"/>
      <c r="AE56" s="455"/>
      <c r="AF56" s="455"/>
      <c r="AG56" s="455"/>
      <c r="AH56" s="455"/>
      <c r="AI56" s="455"/>
      <c r="AJ56" s="455"/>
      <c r="AK56" s="455"/>
    </row>
    <row r="57" spans="1:38" ht="20.5">
      <c r="A57" s="470" t="s">
        <v>930</v>
      </c>
      <c r="B57" s="451"/>
      <c r="C57" s="451"/>
      <c r="D57" s="451"/>
      <c r="E57" s="451"/>
      <c r="F57" s="451"/>
      <c r="G57" s="451"/>
      <c r="H57" s="451"/>
      <c r="I57" s="452"/>
      <c r="J57" s="451"/>
      <c r="K57" s="451"/>
      <c r="L57" s="451"/>
      <c r="M57" s="451"/>
      <c r="N57" s="451"/>
      <c r="O57" s="451"/>
      <c r="P57" s="451"/>
      <c r="Q57" s="558"/>
      <c r="R57" s="451"/>
      <c r="S57" s="452"/>
      <c r="T57" s="456"/>
      <c r="V57" s="454"/>
      <c r="W57" s="454">
        <f t="shared" si="34"/>
        <v>0</v>
      </c>
      <c r="Y57" s="435"/>
      <c r="Z57" s="464"/>
      <c r="AA57" s="464"/>
      <c r="AB57" s="464"/>
      <c r="AC57" s="464"/>
      <c r="AD57" s="464"/>
      <c r="AE57" s="464"/>
      <c r="AF57" s="464"/>
      <c r="AG57" s="464"/>
      <c r="AH57" s="464"/>
      <c r="AI57" s="464"/>
      <c r="AJ57" s="464"/>
      <c r="AK57" s="464"/>
      <c r="AL57" s="465"/>
    </row>
    <row r="58" spans="1:38">
      <c r="A58" s="470" t="s">
        <v>931</v>
      </c>
      <c r="B58" s="451"/>
      <c r="C58" s="451"/>
      <c r="D58" s="451"/>
      <c r="E58" s="451"/>
      <c r="F58" s="451"/>
      <c r="G58" s="451"/>
      <c r="H58" s="451"/>
      <c r="I58" s="452"/>
      <c r="J58" s="451"/>
      <c r="K58" s="451"/>
      <c r="L58" s="451"/>
      <c r="M58" s="451"/>
      <c r="N58" s="451"/>
      <c r="O58" s="451"/>
      <c r="P58" s="451"/>
      <c r="Q58" s="558"/>
      <c r="R58" s="451"/>
      <c r="S58" s="452"/>
      <c r="T58" s="456"/>
      <c r="V58" s="454"/>
      <c r="W58" s="454">
        <f t="shared" si="34"/>
        <v>0</v>
      </c>
      <c r="Y58" s="435"/>
      <c r="Z58" s="455"/>
      <c r="AA58" s="455"/>
      <c r="AB58" s="455"/>
      <c r="AC58" s="455"/>
      <c r="AD58" s="455"/>
      <c r="AE58" s="455"/>
      <c r="AF58" s="455"/>
      <c r="AG58" s="455"/>
      <c r="AH58" s="455"/>
      <c r="AI58" s="455"/>
      <c r="AJ58" s="455"/>
      <c r="AK58" s="455"/>
    </row>
    <row r="59" spans="1:38">
      <c r="A59" s="470" t="s">
        <v>932</v>
      </c>
      <c r="B59" s="451"/>
      <c r="C59" s="451"/>
      <c r="D59" s="451"/>
      <c r="E59" s="451"/>
      <c r="F59" s="451"/>
      <c r="G59" s="451"/>
      <c r="H59" s="451"/>
      <c r="I59" s="452"/>
      <c r="J59" s="451"/>
      <c r="K59" s="451"/>
      <c r="L59" s="451"/>
      <c r="M59" s="451"/>
      <c r="N59" s="451"/>
      <c r="O59" s="451"/>
      <c r="P59" s="451"/>
      <c r="Q59" s="558"/>
      <c r="R59" s="451"/>
      <c r="S59" s="452"/>
      <c r="T59" s="456"/>
      <c r="V59" s="454"/>
      <c r="W59" s="454">
        <f t="shared" si="34"/>
        <v>0</v>
      </c>
      <c r="Y59" s="435"/>
      <c r="Z59" s="455"/>
      <c r="AA59" s="455"/>
      <c r="AB59" s="455"/>
      <c r="AC59" s="455"/>
      <c r="AD59" s="455"/>
      <c r="AE59" s="455"/>
      <c r="AF59" s="455"/>
      <c r="AG59" s="455"/>
      <c r="AH59" s="455"/>
      <c r="AI59" s="455"/>
      <c r="AJ59" s="455"/>
      <c r="AK59" s="455"/>
    </row>
    <row r="60" spans="1:38" s="466" customFormat="1" ht="13">
      <c r="A60" s="457" t="s">
        <v>933</v>
      </c>
      <c r="B60" s="458">
        <f>SUM(B53:B59)</f>
        <v>0</v>
      </c>
      <c r="C60" s="458">
        <f t="shared" ref="C60:H60" si="35">SUM(C53:C59)</f>
        <v>0</v>
      </c>
      <c r="D60" s="458">
        <f t="shared" si="35"/>
        <v>0</v>
      </c>
      <c r="E60" s="459">
        <f t="shared" si="35"/>
        <v>0</v>
      </c>
      <c r="F60" s="458">
        <f t="shared" si="35"/>
        <v>0</v>
      </c>
      <c r="G60" s="458">
        <f t="shared" si="35"/>
        <v>0</v>
      </c>
      <c r="H60" s="458">
        <f t="shared" si="35"/>
        <v>0</v>
      </c>
      <c r="I60" s="460" t="str">
        <f t="shared" ref="I60" si="36">IFERROR((F60/G60),"")</f>
        <v/>
      </c>
      <c r="J60" s="459"/>
      <c r="K60" s="458">
        <f t="shared" ref="K60:R60" si="37">SUM(K53:K59)</f>
        <v>0</v>
      </c>
      <c r="L60" s="458">
        <f t="shared" si="37"/>
        <v>0</v>
      </c>
      <c r="M60" s="458">
        <f t="shared" si="37"/>
        <v>0</v>
      </c>
      <c r="N60" s="459">
        <f t="shared" si="37"/>
        <v>0</v>
      </c>
      <c r="O60" s="458">
        <f t="shared" si="37"/>
        <v>0</v>
      </c>
      <c r="P60" s="458">
        <f t="shared" si="37"/>
        <v>0</v>
      </c>
      <c r="Q60" s="559">
        <f t="shared" si="37"/>
        <v>0</v>
      </c>
      <c r="R60" s="458">
        <f t="shared" si="37"/>
        <v>0</v>
      </c>
      <c r="S60" s="461" t="str">
        <f t="shared" ref="S60" si="38">IFERROR((R60/L60),"")</f>
        <v/>
      </c>
      <c r="T60" s="462"/>
      <c r="U60" s="571"/>
      <c r="V60" s="463">
        <f t="shared" ref="V60:W60" si="39">SUM(V53:V59)</f>
        <v>0</v>
      </c>
      <c r="W60" s="463">
        <f t="shared" si="39"/>
        <v>0</v>
      </c>
      <c r="X60" s="427"/>
      <c r="Y60" s="435"/>
      <c r="Z60" s="455"/>
      <c r="AA60" s="455"/>
      <c r="AB60" s="455"/>
      <c r="AC60" s="455"/>
      <c r="AD60" s="455"/>
      <c r="AE60" s="455"/>
      <c r="AF60" s="455"/>
      <c r="AG60" s="455"/>
      <c r="AH60" s="455"/>
      <c r="AI60" s="455"/>
      <c r="AJ60" s="455"/>
      <c r="AK60" s="455"/>
      <c r="AL60" s="427"/>
    </row>
    <row r="61" spans="1:38" ht="13">
      <c r="A61" s="444" t="s">
        <v>934</v>
      </c>
      <c r="B61" s="451"/>
      <c r="C61" s="451"/>
      <c r="D61" s="451"/>
      <c r="E61" s="451"/>
      <c r="F61" s="451"/>
      <c r="G61" s="451"/>
      <c r="H61" s="451"/>
      <c r="I61" s="452"/>
      <c r="J61" s="451"/>
      <c r="K61" s="451"/>
      <c r="L61" s="451"/>
      <c r="M61" s="451"/>
      <c r="N61" s="451"/>
      <c r="O61" s="451"/>
      <c r="P61" s="451"/>
      <c r="Q61" s="561"/>
      <c r="R61" s="468"/>
      <c r="S61" s="469"/>
      <c r="T61" s="456"/>
      <c r="V61" s="454"/>
      <c r="Y61" s="435"/>
      <c r="Z61" s="455"/>
      <c r="AA61" s="455"/>
      <c r="AB61" s="455"/>
      <c r="AC61" s="455"/>
      <c r="AD61" s="455"/>
      <c r="AE61" s="455"/>
      <c r="AF61" s="455"/>
      <c r="AG61" s="455"/>
      <c r="AH61" s="455"/>
      <c r="AI61" s="455"/>
      <c r="AJ61" s="455"/>
      <c r="AK61" s="455"/>
    </row>
    <row r="62" spans="1:38">
      <c r="A62" s="470" t="s">
        <v>935</v>
      </c>
      <c r="B62" s="451"/>
      <c r="C62" s="451"/>
      <c r="D62" s="451"/>
      <c r="E62" s="451"/>
      <c r="F62" s="451"/>
      <c r="G62" s="451"/>
      <c r="H62" s="451"/>
      <c r="I62" s="452"/>
      <c r="J62" s="451"/>
      <c r="K62" s="451"/>
      <c r="L62" s="451"/>
      <c r="M62" s="451"/>
      <c r="N62" s="451"/>
      <c r="O62" s="451"/>
      <c r="P62" s="451"/>
      <c r="Q62" s="558"/>
      <c r="R62" s="451"/>
      <c r="S62" s="452"/>
      <c r="T62" s="456"/>
      <c r="V62" s="454">
        <f t="shared" ref="V62:V63" si="40">+O62-T62</f>
        <v>0</v>
      </c>
      <c r="W62" s="454">
        <f t="shared" ref="W62:W63" si="41">+Q62-V62</f>
        <v>0</v>
      </c>
      <c r="Y62" s="435"/>
      <c r="Z62" s="455"/>
      <c r="AA62" s="455"/>
      <c r="AB62" s="455"/>
      <c r="AC62" s="455"/>
      <c r="AD62" s="455"/>
      <c r="AE62" s="455"/>
      <c r="AF62" s="455"/>
      <c r="AG62" s="455"/>
      <c r="AH62" s="455"/>
      <c r="AI62" s="455"/>
      <c r="AJ62" s="455"/>
      <c r="AK62" s="455"/>
    </row>
    <row r="63" spans="1:38">
      <c r="A63" s="470" t="s">
        <v>936</v>
      </c>
      <c r="B63" s="451"/>
      <c r="C63" s="451"/>
      <c r="D63" s="451"/>
      <c r="E63" s="451"/>
      <c r="F63" s="451"/>
      <c r="G63" s="451"/>
      <c r="H63" s="451"/>
      <c r="I63" s="452"/>
      <c r="J63" s="451"/>
      <c r="K63" s="451"/>
      <c r="L63" s="451"/>
      <c r="M63" s="451"/>
      <c r="N63" s="451"/>
      <c r="O63" s="451"/>
      <c r="P63" s="451"/>
      <c r="Q63" s="558"/>
      <c r="R63" s="451"/>
      <c r="S63" s="452"/>
      <c r="T63" s="456"/>
      <c r="V63" s="454">
        <f t="shared" si="40"/>
        <v>0</v>
      </c>
      <c r="W63" s="454">
        <f t="shared" si="41"/>
        <v>0</v>
      </c>
      <c r="Y63" s="435"/>
      <c r="Z63" s="455"/>
      <c r="AA63" s="455"/>
      <c r="AB63" s="455"/>
      <c r="AC63" s="455"/>
      <c r="AD63" s="455"/>
      <c r="AE63" s="455"/>
      <c r="AF63" s="455"/>
      <c r="AG63" s="455"/>
      <c r="AH63" s="455"/>
      <c r="AI63" s="455"/>
      <c r="AJ63" s="455"/>
      <c r="AK63" s="455"/>
    </row>
    <row r="64" spans="1:38" s="466" customFormat="1" ht="13">
      <c r="A64" s="457" t="s">
        <v>937</v>
      </c>
      <c r="B64" s="458">
        <f t="shared" ref="B64:R64" si="42">SUM(B62:B63)</f>
        <v>0</v>
      </c>
      <c r="C64" s="458">
        <f t="shared" si="42"/>
        <v>0</v>
      </c>
      <c r="D64" s="458">
        <f t="shared" si="42"/>
        <v>0</v>
      </c>
      <c r="E64" s="459">
        <f t="shared" si="42"/>
        <v>0</v>
      </c>
      <c r="F64" s="458">
        <f t="shared" si="42"/>
        <v>0</v>
      </c>
      <c r="G64" s="458">
        <f t="shared" si="42"/>
        <v>0</v>
      </c>
      <c r="H64" s="458">
        <f t="shared" si="42"/>
        <v>0</v>
      </c>
      <c r="I64" s="460" t="str">
        <f t="shared" ref="I64" si="43">IFERROR((F64/G64),"")</f>
        <v/>
      </c>
      <c r="J64" s="459"/>
      <c r="K64" s="458">
        <f t="shared" si="42"/>
        <v>0</v>
      </c>
      <c r="L64" s="458">
        <f t="shared" si="42"/>
        <v>0</v>
      </c>
      <c r="M64" s="458">
        <f t="shared" si="42"/>
        <v>0</v>
      </c>
      <c r="N64" s="459">
        <f t="shared" si="42"/>
        <v>0</v>
      </c>
      <c r="O64" s="458">
        <f t="shared" si="42"/>
        <v>0</v>
      </c>
      <c r="P64" s="458">
        <f t="shared" si="42"/>
        <v>0</v>
      </c>
      <c r="Q64" s="559">
        <f t="shared" si="42"/>
        <v>0</v>
      </c>
      <c r="R64" s="458">
        <f t="shared" si="42"/>
        <v>0</v>
      </c>
      <c r="S64" s="461" t="str">
        <f t="shared" ref="S64:S65" si="44">IFERROR((R64/L64),"")</f>
        <v/>
      </c>
      <c r="T64" s="462"/>
      <c r="U64" s="571"/>
      <c r="V64" s="463">
        <f t="shared" ref="V64:W64" si="45">SUM(V62:V63)</f>
        <v>0</v>
      </c>
      <c r="W64" s="463">
        <f t="shared" si="45"/>
        <v>0</v>
      </c>
      <c r="X64" s="427"/>
      <c r="Y64" s="435"/>
      <c r="Z64" s="455"/>
      <c r="AA64" s="455"/>
      <c r="AB64" s="455"/>
      <c r="AC64" s="455"/>
      <c r="AD64" s="455"/>
      <c r="AE64" s="455"/>
      <c r="AF64" s="455"/>
      <c r="AG64" s="455"/>
      <c r="AH64" s="455"/>
      <c r="AI64" s="455"/>
      <c r="AJ64" s="455"/>
      <c r="AK64" s="455"/>
      <c r="AL64" s="427"/>
    </row>
    <row r="65" spans="1:38" s="466" customFormat="1" ht="26">
      <c r="A65" s="471" t="s">
        <v>243</v>
      </c>
      <c r="B65" s="472">
        <f t="shared" ref="B65:H65" si="46">B12+B16+B23+B29+B39+B51+B60+B64</f>
        <v>0</v>
      </c>
      <c r="C65" s="472">
        <f t="shared" si="46"/>
        <v>0</v>
      </c>
      <c r="D65" s="472">
        <f t="shared" si="46"/>
        <v>0</v>
      </c>
      <c r="E65" s="459">
        <f t="shared" si="46"/>
        <v>0</v>
      </c>
      <c r="F65" s="472">
        <f t="shared" si="46"/>
        <v>0</v>
      </c>
      <c r="G65" s="472">
        <f t="shared" si="46"/>
        <v>0</v>
      </c>
      <c r="H65" s="472">
        <f t="shared" si="46"/>
        <v>0</v>
      </c>
      <c r="I65" s="473" t="str">
        <f>IFERROR((F65/G65),"")</f>
        <v/>
      </c>
      <c r="J65" s="459"/>
      <c r="K65" s="472">
        <f t="shared" ref="K65:R65" si="47">K12+K16+K23+K29+K39+K51+K60+K64</f>
        <v>0</v>
      </c>
      <c r="L65" s="472">
        <f t="shared" si="47"/>
        <v>0</v>
      </c>
      <c r="M65" s="472">
        <f t="shared" si="47"/>
        <v>0</v>
      </c>
      <c r="N65" s="459">
        <f t="shared" si="47"/>
        <v>0</v>
      </c>
      <c r="O65" s="472">
        <f t="shared" si="47"/>
        <v>0</v>
      </c>
      <c r="P65" s="472">
        <f t="shared" si="47"/>
        <v>0</v>
      </c>
      <c r="Q65" s="559">
        <f t="shared" si="47"/>
        <v>0</v>
      </c>
      <c r="R65" s="472">
        <f t="shared" si="47"/>
        <v>0</v>
      </c>
      <c r="S65" s="474" t="str">
        <f t="shared" si="44"/>
        <v/>
      </c>
      <c r="T65" s="475"/>
      <c r="U65" s="571"/>
      <c r="V65" s="476">
        <f>V12+V16+V23+V29+V39+V51+V60+V64</f>
        <v>0</v>
      </c>
      <c r="W65" s="476">
        <f>W12+W16+W23+W29+W39+W51+W60+W64</f>
        <v>0</v>
      </c>
      <c r="X65" s="427"/>
      <c r="Y65" s="435"/>
      <c r="Z65" s="455"/>
      <c r="AA65" s="455"/>
      <c r="AB65" s="455"/>
      <c r="AC65" s="455"/>
      <c r="AD65" s="455"/>
      <c r="AE65" s="455"/>
      <c r="AF65" s="455"/>
      <c r="AG65" s="455"/>
      <c r="AH65" s="455"/>
      <c r="AI65" s="455"/>
      <c r="AJ65" s="455"/>
      <c r="AK65" s="455"/>
      <c r="AL65" s="427"/>
    </row>
    <row r="66" spans="1:38" s="466" customFormat="1" ht="13">
      <c r="A66" s="477"/>
      <c r="B66" s="459"/>
      <c r="C66" s="459"/>
      <c r="D66" s="459"/>
      <c r="E66" s="459"/>
      <c r="F66" s="459"/>
      <c r="G66" s="459"/>
      <c r="H66" s="459"/>
      <c r="I66" s="478"/>
      <c r="J66" s="459"/>
      <c r="K66" s="459"/>
      <c r="L66" s="459"/>
      <c r="M66" s="459"/>
      <c r="N66" s="459"/>
      <c r="O66" s="459"/>
      <c r="P66" s="459"/>
      <c r="Q66" s="559"/>
      <c r="R66" s="459"/>
      <c r="S66" s="479"/>
      <c r="T66" s="480"/>
      <c r="U66" s="571"/>
      <c r="V66" s="481"/>
      <c r="W66" s="481"/>
      <c r="X66" s="427"/>
      <c r="Y66" s="435"/>
      <c r="Z66" s="464"/>
      <c r="AA66" s="464"/>
      <c r="AB66" s="464"/>
      <c r="AC66" s="464"/>
      <c r="AD66" s="464"/>
      <c r="AE66" s="464"/>
      <c r="AF66" s="464"/>
      <c r="AG66" s="464"/>
      <c r="AH66" s="464"/>
      <c r="AI66" s="464"/>
      <c r="AJ66" s="464"/>
      <c r="AK66" s="464"/>
      <c r="AL66" s="465"/>
    </row>
    <row r="67" spans="1:38" ht="15.5">
      <c r="A67" s="436"/>
      <c r="B67" s="726" t="s">
        <v>864</v>
      </c>
      <c r="C67" s="726"/>
      <c r="D67" s="726"/>
      <c r="E67" s="437"/>
      <c r="F67" s="726" t="s">
        <v>865</v>
      </c>
      <c r="G67" s="726"/>
      <c r="H67" s="726"/>
      <c r="I67" s="726"/>
      <c r="J67" s="437"/>
      <c r="K67" s="726" t="s">
        <v>866</v>
      </c>
      <c r="L67" s="726"/>
      <c r="M67" s="726"/>
      <c r="N67" s="437"/>
      <c r="O67" s="726" t="s">
        <v>797</v>
      </c>
      <c r="P67" s="726"/>
      <c r="Q67" s="726"/>
      <c r="R67" s="726"/>
      <c r="S67" s="726"/>
      <c r="T67" s="726"/>
      <c r="V67" s="727" t="s">
        <v>867</v>
      </c>
      <c r="W67" s="727"/>
      <c r="Y67" s="435"/>
      <c r="Z67" s="455"/>
      <c r="AA67" s="455"/>
      <c r="AB67" s="455"/>
      <c r="AC67" s="455"/>
      <c r="AD67" s="455"/>
      <c r="AE67" s="455"/>
      <c r="AF67" s="455"/>
      <c r="AG67" s="455"/>
      <c r="AH67" s="455"/>
      <c r="AI67" s="455"/>
      <c r="AJ67" s="455"/>
      <c r="AK67" s="455"/>
    </row>
    <row r="68" spans="1:38" ht="39">
      <c r="A68" s="439" t="s">
        <v>868</v>
      </c>
      <c r="B68" s="440" t="s">
        <v>869</v>
      </c>
      <c r="C68" s="440" t="s">
        <v>870</v>
      </c>
      <c r="D68" s="440" t="s">
        <v>749</v>
      </c>
      <c r="E68" s="441"/>
      <c r="F68" s="440" t="s">
        <v>869</v>
      </c>
      <c r="G68" s="440" t="s">
        <v>870</v>
      </c>
      <c r="H68" s="440" t="s">
        <v>749</v>
      </c>
      <c r="I68" s="442" t="s">
        <v>871</v>
      </c>
      <c r="J68" s="441"/>
      <c r="K68" s="440" t="str">
        <f>+K6</f>
        <v>2024-25 Out turn</v>
      </c>
      <c r="L68" s="440" t="str">
        <f>+L6</f>
        <v>2025-26 Signed Budget</v>
      </c>
      <c r="M68" s="440" t="str">
        <f>+M6</f>
        <v>2025-26 Current Budget</v>
      </c>
      <c r="N68" s="441"/>
      <c r="O68" s="440" t="s">
        <v>875</v>
      </c>
      <c r="P68" s="440" t="s">
        <v>876</v>
      </c>
      <c r="Q68" s="557" t="s">
        <v>877</v>
      </c>
      <c r="R68" s="440" t="s">
        <v>938</v>
      </c>
      <c r="S68" s="442" t="s">
        <v>871</v>
      </c>
      <c r="T68" s="440" t="s">
        <v>160</v>
      </c>
      <c r="U68" s="583"/>
      <c r="V68" s="443" t="s">
        <v>879</v>
      </c>
      <c r="W68" s="443" t="s">
        <v>880</v>
      </c>
      <c r="Y68" s="435"/>
      <c r="Z68" s="455"/>
      <c r="AA68" s="455"/>
      <c r="AB68" s="455"/>
      <c r="AC68" s="455"/>
      <c r="AD68" s="455"/>
      <c r="AE68" s="455"/>
      <c r="AF68" s="455"/>
      <c r="AG68" s="455"/>
      <c r="AH68" s="455"/>
      <c r="AI68" s="455"/>
      <c r="AJ68" s="455"/>
      <c r="AK68" s="455"/>
    </row>
    <row r="69" spans="1:38" ht="13">
      <c r="A69" s="444" t="s">
        <v>322</v>
      </c>
      <c r="B69" s="482"/>
      <c r="C69" s="482"/>
      <c r="D69" s="482"/>
      <c r="E69" s="482"/>
      <c r="F69" s="482"/>
      <c r="G69" s="482"/>
      <c r="H69" s="482"/>
      <c r="I69" s="483"/>
      <c r="J69" s="482"/>
      <c r="K69" s="482"/>
      <c r="L69" s="482"/>
      <c r="M69" s="482"/>
      <c r="N69" s="482"/>
      <c r="O69" s="482"/>
      <c r="P69" s="482"/>
      <c r="Q69" s="562"/>
      <c r="R69" s="482"/>
      <c r="S69" s="483"/>
      <c r="T69" s="484"/>
      <c r="V69" s="485"/>
      <c r="W69" s="485"/>
      <c r="Y69" s="435"/>
      <c r="Z69" s="455"/>
      <c r="AA69" s="455"/>
      <c r="AB69" s="455"/>
      <c r="AC69" s="455"/>
      <c r="AD69" s="455"/>
      <c r="AE69" s="455"/>
      <c r="AF69" s="455"/>
      <c r="AG69" s="455"/>
      <c r="AH69" s="455"/>
      <c r="AI69" s="455"/>
      <c r="AJ69" s="455"/>
      <c r="AK69" s="455"/>
    </row>
    <row r="70" spans="1:38" ht="13">
      <c r="A70" s="444" t="s">
        <v>939</v>
      </c>
      <c r="B70" s="486"/>
      <c r="C70" s="486"/>
      <c r="D70" s="486"/>
      <c r="E70" s="486"/>
      <c r="F70" s="486"/>
      <c r="G70" s="486"/>
      <c r="H70" s="486"/>
      <c r="I70" s="487"/>
      <c r="J70" s="486"/>
      <c r="K70" s="486"/>
      <c r="L70" s="486"/>
      <c r="M70" s="486"/>
      <c r="N70" s="486"/>
      <c r="O70" s="486"/>
      <c r="P70" s="486"/>
      <c r="Q70" s="563"/>
      <c r="R70" s="486"/>
      <c r="S70" s="487"/>
      <c r="T70" s="488"/>
      <c r="V70" s="489"/>
      <c r="W70" s="489"/>
      <c r="Y70" s="435"/>
      <c r="Z70" s="464"/>
      <c r="AA70" s="464"/>
      <c r="AB70" s="464"/>
      <c r="AC70" s="464"/>
      <c r="AD70" s="464"/>
      <c r="AE70" s="464"/>
      <c r="AF70" s="464"/>
      <c r="AG70" s="464"/>
      <c r="AH70" s="464"/>
      <c r="AI70" s="464"/>
      <c r="AJ70" s="464"/>
      <c r="AK70" s="464"/>
      <c r="AL70" s="465"/>
    </row>
    <row r="71" spans="1:38" ht="13">
      <c r="A71" s="470" t="s">
        <v>940</v>
      </c>
      <c r="B71" s="451"/>
      <c r="C71" s="451"/>
      <c r="D71" s="451"/>
      <c r="E71" s="451"/>
      <c r="F71" s="451"/>
      <c r="G71" s="451"/>
      <c r="H71" s="451"/>
      <c r="I71" s="452"/>
      <c r="J71" s="451"/>
      <c r="K71" s="451"/>
      <c r="L71" s="451"/>
      <c r="M71" s="451"/>
      <c r="N71" s="451"/>
      <c r="O71" s="451"/>
      <c r="P71" s="451"/>
      <c r="Q71" s="558"/>
      <c r="R71" s="451"/>
      <c r="S71" s="452"/>
      <c r="T71" s="456"/>
      <c r="V71" s="454"/>
      <c r="W71" s="454">
        <f t="shared" ref="W71:W76" si="48">+Q71-V71</f>
        <v>0</v>
      </c>
      <c r="Y71" s="435"/>
      <c r="Z71" s="490"/>
      <c r="AA71" s="490"/>
      <c r="AB71" s="490"/>
      <c r="AC71" s="490"/>
      <c r="AD71" s="490"/>
      <c r="AE71" s="490"/>
      <c r="AF71" s="490"/>
      <c r="AG71" s="490"/>
      <c r="AH71" s="490"/>
      <c r="AI71" s="490"/>
      <c r="AJ71" s="490"/>
      <c r="AK71" s="490"/>
      <c r="AL71" s="465"/>
    </row>
    <row r="72" spans="1:38" ht="20.5">
      <c r="A72" s="470" t="s">
        <v>941</v>
      </c>
      <c r="B72" s="451"/>
      <c r="C72" s="451"/>
      <c r="D72" s="451"/>
      <c r="E72" s="451"/>
      <c r="F72" s="451"/>
      <c r="G72" s="451"/>
      <c r="H72" s="451"/>
      <c r="I72" s="452"/>
      <c r="J72" s="451"/>
      <c r="K72" s="451"/>
      <c r="L72" s="451"/>
      <c r="M72" s="451"/>
      <c r="N72" s="451"/>
      <c r="O72" s="451"/>
      <c r="P72" s="451"/>
      <c r="Q72" s="558"/>
      <c r="R72" s="451"/>
      <c r="S72" s="452"/>
      <c r="T72" s="456"/>
      <c r="V72" s="454"/>
      <c r="W72" s="454">
        <f t="shared" si="48"/>
        <v>0</v>
      </c>
      <c r="Y72" s="435"/>
      <c r="Z72" s="491"/>
      <c r="AA72" s="491"/>
      <c r="AB72" s="491"/>
      <c r="AC72" s="491"/>
      <c r="AD72" s="491"/>
      <c r="AE72" s="491"/>
      <c r="AF72" s="491"/>
      <c r="AG72" s="491"/>
      <c r="AH72" s="491"/>
      <c r="AI72" s="491"/>
      <c r="AJ72" s="491"/>
      <c r="AK72" s="491"/>
      <c r="AL72" s="465"/>
    </row>
    <row r="73" spans="1:38" ht="13">
      <c r="A73" s="470" t="s">
        <v>942</v>
      </c>
      <c r="B73" s="451"/>
      <c r="C73" s="451"/>
      <c r="D73" s="451"/>
      <c r="E73" s="451"/>
      <c r="F73" s="451"/>
      <c r="G73" s="451"/>
      <c r="H73" s="451"/>
      <c r="I73" s="452"/>
      <c r="J73" s="451"/>
      <c r="K73" s="451"/>
      <c r="L73" s="451"/>
      <c r="M73" s="451"/>
      <c r="N73" s="451"/>
      <c r="O73" s="451"/>
      <c r="P73" s="451"/>
      <c r="Q73" s="558"/>
      <c r="R73" s="451"/>
      <c r="S73" s="452"/>
      <c r="T73" s="456"/>
      <c r="V73" s="454"/>
      <c r="W73" s="454">
        <f t="shared" si="48"/>
        <v>0</v>
      </c>
      <c r="Y73" s="435"/>
      <c r="Z73" s="438"/>
      <c r="AA73" s="438"/>
      <c r="AB73" s="438"/>
      <c r="AC73" s="438"/>
      <c r="AD73" s="438"/>
      <c r="AE73" s="438"/>
      <c r="AF73" s="438"/>
      <c r="AG73" s="438"/>
      <c r="AH73" s="438"/>
      <c r="AI73" s="438"/>
      <c r="AJ73" s="438"/>
      <c r="AK73" s="438"/>
    </row>
    <row r="74" spans="1:38" ht="20.5">
      <c r="A74" s="470" t="s">
        <v>943</v>
      </c>
      <c r="B74" s="451"/>
      <c r="C74" s="451"/>
      <c r="D74" s="451"/>
      <c r="E74" s="451"/>
      <c r="F74" s="451"/>
      <c r="G74" s="451"/>
      <c r="H74" s="451"/>
      <c r="I74" s="452"/>
      <c r="J74" s="451"/>
      <c r="K74" s="451"/>
      <c r="L74" s="451"/>
      <c r="M74" s="451"/>
      <c r="N74" s="451"/>
      <c r="O74" s="451"/>
      <c r="P74" s="451"/>
      <c r="Q74" s="558"/>
      <c r="R74" s="451"/>
      <c r="S74" s="452"/>
      <c r="T74" s="456"/>
      <c r="V74" s="454"/>
      <c r="W74" s="454">
        <f t="shared" si="48"/>
        <v>0</v>
      </c>
      <c r="Y74" s="435"/>
      <c r="Z74" s="440" t="s">
        <v>881</v>
      </c>
      <c r="AA74" s="440" t="s">
        <v>881</v>
      </c>
      <c r="AB74" s="440" t="s">
        <v>881</v>
      </c>
      <c r="AC74" s="440" t="s">
        <v>881</v>
      </c>
      <c r="AD74" s="440" t="s">
        <v>881</v>
      </c>
      <c r="AE74" s="440" t="s">
        <v>881</v>
      </c>
      <c r="AF74" s="440" t="s">
        <v>881</v>
      </c>
      <c r="AG74" s="440" t="s">
        <v>881</v>
      </c>
      <c r="AH74" s="440" t="s">
        <v>881</v>
      </c>
      <c r="AI74" s="440" t="s">
        <v>881</v>
      </c>
      <c r="AJ74" s="440" t="s">
        <v>881</v>
      </c>
      <c r="AK74" s="440" t="s">
        <v>881</v>
      </c>
    </row>
    <row r="75" spans="1:38">
      <c r="A75" s="470" t="s">
        <v>944</v>
      </c>
      <c r="B75" s="451"/>
      <c r="C75" s="451"/>
      <c r="D75" s="451"/>
      <c r="E75" s="451"/>
      <c r="F75" s="451"/>
      <c r="G75" s="451"/>
      <c r="H75" s="451"/>
      <c r="I75" s="452"/>
      <c r="J75" s="451"/>
      <c r="K75" s="451"/>
      <c r="L75" s="451"/>
      <c r="M75" s="451"/>
      <c r="N75" s="451"/>
      <c r="O75" s="451"/>
      <c r="P75" s="451"/>
      <c r="Q75" s="558"/>
      <c r="R75" s="451"/>
      <c r="S75" s="452"/>
      <c r="T75" s="456"/>
      <c r="V75" s="454"/>
      <c r="W75" s="454">
        <f t="shared" si="48"/>
        <v>0</v>
      </c>
      <c r="Y75" s="435"/>
      <c r="Z75" s="492"/>
      <c r="AA75" s="492"/>
      <c r="AB75" s="492"/>
      <c r="AC75" s="492"/>
      <c r="AD75" s="492"/>
      <c r="AE75" s="492"/>
      <c r="AF75" s="492"/>
      <c r="AG75" s="492"/>
      <c r="AH75" s="492"/>
      <c r="AI75" s="492"/>
      <c r="AJ75" s="492"/>
      <c r="AK75" s="492"/>
    </row>
    <row r="76" spans="1:38">
      <c r="A76" s="470" t="s">
        <v>945</v>
      </c>
      <c r="B76" s="451"/>
      <c r="C76" s="451"/>
      <c r="D76" s="451"/>
      <c r="E76" s="451"/>
      <c r="F76" s="451"/>
      <c r="G76" s="451"/>
      <c r="H76" s="451"/>
      <c r="I76" s="452"/>
      <c r="J76" s="451"/>
      <c r="K76" s="451"/>
      <c r="L76" s="451"/>
      <c r="M76" s="451"/>
      <c r="N76" s="451"/>
      <c r="O76" s="451"/>
      <c r="P76" s="451"/>
      <c r="Q76" s="558"/>
      <c r="R76" s="451"/>
      <c r="S76" s="452"/>
      <c r="T76" s="456"/>
      <c r="V76" s="454"/>
      <c r="W76" s="454">
        <f t="shared" si="48"/>
        <v>0</v>
      </c>
      <c r="Y76" s="435"/>
      <c r="Z76" s="493"/>
      <c r="AA76" s="493"/>
      <c r="AB76" s="493"/>
      <c r="AC76" s="493"/>
      <c r="AD76" s="493"/>
      <c r="AE76" s="493"/>
      <c r="AF76" s="493"/>
      <c r="AG76" s="493"/>
      <c r="AH76" s="493"/>
      <c r="AI76" s="493"/>
      <c r="AJ76" s="493"/>
      <c r="AK76" s="493"/>
    </row>
    <row r="77" spans="1:38" s="466" customFormat="1" ht="13">
      <c r="A77" s="457" t="s">
        <v>946</v>
      </c>
      <c r="B77" s="458">
        <f t="shared" ref="B77:H77" si="49">SUM(B71:B76)</f>
        <v>0</v>
      </c>
      <c r="C77" s="458">
        <f t="shared" si="49"/>
        <v>0</v>
      </c>
      <c r="D77" s="458">
        <f t="shared" si="49"/>
        <v>0</v>
      </c>
      <c r="E77" s="459">
        <f t="shared" si="49"/>
        <v>0</v>
      </c>
      <c r="F77" s="458">
        <f t="shared" si="49"/>
        <v>0</v>
      </c>
      <c r="G77" s="458">
        <f t="shared" si="49"/>
        <v>0</v>
      </c>
      <c r="H77" s="458">
        <f t="shared" si="49"/>
        <v>0</v>
      </c>
      <c r="I77" s="460" t="str">
        <f t="shared" ref="I77" si="50">IFERROR((F77/G77),"")</f>
        <v/>
      </c>
      <c r="J77" s="459"/>
      <c r="K77" s="458">
        <f t="shared" ref="K77:R77" si="51">SUM(K71:K76)</f>
        <v>0</v>
      </c>
      <c r="L77" s="458">
        <f t="shared" si="51"/>
        <v>0</v>
      </c>
      <c r="M77" s="458">
        <f t="shared" si="51"/>
        <v>0</v>
      </c>
      <c r="N77" s="459">
        <f t="shared" si="51"/>
        <v>0</v>
      </c>
      <c r="O77" s="458">
        <f t="shared" si="51"/>
        <v>0</v>
      </c>
      <c r="P77" s="458">
        <f t="shared" si="51"/>
        <v>0</v>
      </c>
      <c r="Q77" s="559">
        <f t="shared" si="51"/>
        <v>0</v>
      </c>
      <c r="R77" s="458">
        <f t="shared" si="51"/>
        <v>0</v>
      </c>
      <c r="S77" s="461" t="str">
        <f t="shared" ref="S77" si="52">IFERROR((R77/L77),"")</f>
        <v/>
      </c>
      <c r="T77" s="462"/>
      <c r="U77" s="571"/>
      <c r="V77" s="463">
        <f>SUM(V71:V76)</f>
        <v>0</v>
      </c>
      <c r="W77" s="463">
        <f>SUM(W71:W76)</f>
        <v>0</v>
      </c>
      <c r="X77" s="427"/>
      <c r="Y77" s="435"/>
      <c r="Z77" s="455"/>
      <c r="AA77" s="455"/>
      <c r="AB77" s="455"/>
      <c r="AC77" s="455"/>
      <c r="AD77" s="455"/>
      <c r="AE77" s="455"/>
      <c r="AF77" s="455"/>
      <c r="AG77" s="455"/>
      <c r="AH77" s="455"/>
      <c r="AI77" s="455"/>
      <c r="AJ77" s="455"/>
      <c r="AK77" s="455"/>
      <c r="AL77" s="427"/>
    </row>
    <row r="78" spans="1:38" ht="13">
      <c r="A78" s="444" t="s">
        <v>947</v>
      </c>
      <c r="B78" s="451"/>
      <c r="C78" s="451"/>
      <c r="D78" s="451"/>
      <c r="E78" s="451"/>
      <c r="F78" s="451"/>
      <c r="G78" s="451"/>
      <c r="H78" s="451"/>
      <c r="I78" s="467"/>
      <c r="J78" s="451"/>
      <c r="K78" s="451"/>
      <c r="L78" s="451"/>
      <c r="M78" s="451"/>
      <c r="N78" s="451"/>
      <c r="O78" s="451"/>
      <c r="P78" s="451"/>
      <c r="Q78" s="558"/>
      <c r="R78" s="451"/>
      <c r="S78" s="467"/>
      <c r="T78" s="456"/>
      <c r="V78" s="454"/>
      <c r="W78" s="454"/>
      <c r="Y78" s="435"/>
      <c r="Z78" s="455"/>
      <c r="AA78" s="455"/>
      <c r="AB78" s="455"/>
      <c r="AC78" s="455"/>
      <c r="AD78" s="455"/>
      <c r="AE78" s="455"/>
      <c r="AF78" s="455"/>
      <c r="AG78" s="455"/>
      <c r="AH78" s="455"/>
      <c r="AI78" s="455"/>
      <c r="AJ78" s="455"/>
      <c r="AK78" s="455"/>
    </row>
    <row r="79" spans="1:38">
      <c r="A79" s="470" t="s">
        <v>948</v>
      </c>
      <c r="B79" s="451"/>
      <c r="C79" s="451"/>
      <c r="D79" s="451"/>
      <c r="E79" s="451"/>
      <c r="F79" s="451"/>
      <c r="G79" s="451"/>
      <c r="H79" s="451"/>
      <c r="I79" s="452"/>
      <c r="J79" s="451"/>
      <c r="K79" s="451"/>
      <c r="L79" s="451"/>
      <c r="M79" s="451"/>
      <c r="N79" s="451"/>
      <c r="O79" s="451"/>
      <c r="P79" s="451"/>
      <c r="Q79" s="558"/>
      <c r="R79" s="451"/>
      <c r="S79" s="452"/>
      <c r="T79" s="456"/>
      <c r="V79" s="454"/>
      <c r="W79" s="454">
        <f t="shared" ref="W79:W90" si="53">+Q79-V79</f>
        <v>0</v>
      </c>
      <c r="Y79" s="435"/>
      <c r="Z79" s="455"/>
      <c r="AA79" s="455"/>
      <c r="AB79" s="455"/>
      <c r="AC79" s="455"/>
      <c r="AD79" s="455"/>
      <c r="AE79" s="455"/>
      <c r="AF79" s="455"/>
      <c r="AG79" s="455"/>
      <c r="AH79" s="455"/>
      <c r="AI79" s="455"/>
      <c r="AJ79" s="455"/>
      <c r="AK79" s="455"/>
    </row>
    <row r="80" spans="1:38" ht="20.5">
      <c r="A80" s="470" t="s">
        <v>949</v>
      </c>
      <c r="B80" s="451"/>
      <c r="C80" s="451"/>
      <c r="D80" s="451"/>
      <c r="E80" s="451"/>
      <c r="F80" s="451"/>
      <c r="G80" s="451"/>
      <c r="H80" s="451"/>
      <c r="I80" s="452"/>
      <c r="J80" s="451"/>
      <c r="K80" s="451"/>
      <c r="L80" s="451"/>
      <c r="M80" s="451"/>
      <c r="N80" s="451"/>
      <c r="O80" s="451"/>
      <c r="P80" s="451"/>
      <c r="Q80" s="558"/>
      <c r="R80" s="451"/>
      <c r="S80" s="452"/>
      <c r="T80" s="456"/>
      <c r="V80" s="454"/>
      <c r="W80" s="454">
        <f t="shared" si="53"/>
        <v>0</v>
      </c>
      <c r="Y80" s="435"/>
      <c r="Z80" s="455"/>
      <c r="AA80" s="455"/>
      <c r="AB80" s="455"/>
      <c r="AC80" s="455"/>
      <c r="AD80" s="455"/>
      <c r="AE80" s="455"/>
      <c r="AF80" s="455"/>
      <c r="AG80" s="455"/>
      <c r="AH80" s="455"/>
      <c r="AI80" s="455"/>
      <c r="AJ80" s="455"/>
      <c r="AK80" s="455"/>
    </row>
    <row r="81" spans="1:38" ht="13">
      <c r="A81" s="470" t="s">
        <v>950</v>
      </c>
      <c r="B81" s="451"/>
      <c r="C81" s="451"/>
      <c r="D81" s="451"/>
      <c r="E81" s="451"/>
      <c r="F81" s="451"/>
      <c r="G81" s="451"/>
      <c r="H81" s="451"/>
      <c r="I81" s="452"/>
      <c r="J81" s="451"/>
      <c r="K81" s="451"/>
      <c r="L81" s="451"/>
      <c r="M81" s="451"/>
      <c r="N81" s="451"/>
      <c r="O81" s="451"/>
      <c r="P81" s="451"/>
      <c r="Q81" s="558"/>
      <c r="R81" s="451"/>
      <c r="S81" s="452"/>
      <c r="T81" s="456"/>
      <c r="V81" s="454"/>
      <c r="W81" s="454">
        <f t="shared" si="53"/>
        <v>0</v>
      </c>
      <c r="Y81" s="435"/>
      <c r="Z81" s="464"/>
      <c r="AA81" s="464"/>
      <c r="AB81" s="464"/>
      <c r="AC81" s="464"/>
      <c r="AD81" s="464"/>
      <c r="AE81" s="464"/>
      <c r="AF81" s="464"/>
      <c r="AG81" s="464"/>
      <c r="AH81" s="464"/>
      <c r="AI81" s="464"/>
      <c r="AJ81" s="464"/>
      <c r="AK81" s="464"/>
      <c r="AL81" s="465"/>
    </row>
    <row r="82" spans="1:38">
      <c r="A82" s="470" t="s">
        <v>951</v>
      </c>
      <c r="B82" s="451"/>
      <c r="C82" s="451"/>
      <c r="D82" s="451"/>
      <c r="E82" s="451"/>
      <c r="F82" s="451"/>
      <c r="G82" s="451"/>
      <c r="H82" s="451"/>
      <c r="I82" s="452"/>
      <c r="J82" s="451"/>
      <c r="K82" s="451"/>
      <c r="L82" s="451"/>
      <c r="M82" s="451"/>
      <c r="N82" s="451"/>
      <c r="O82" s="451"/>
      <c r="P82" s="451"/>
      <c r="Q82" s="558"/>
      <c r="R82" s="451"/>
      <c r="S82" s="452"/>
      <c r="T82" s="456"/>
      <c r="V82" s="454"/>
      <c r="W82" s="454">
        <f t="shared" si="53"/>
        <v>0</v>
      </c>
      <c r="Y82" s="435"/>
      <c r="Z82" s="455"/>
      <c r="AA82" s="455"/>
      <c r="AB82" s="455"/>
      <c r="AC82" s="455"/>
      <c r="AD82" s="455"/>
      <c r="AE82" s="455"/>
      <c r="AF82" s="455"/>
      <c r="AG82" s="455"/>
      <c r="AH82" s="455"/>
      <c r="AI82" s="455"/>
      <c r="AJ82" s="455"/>
      <c r="AK82" s="455"/>
    </row>
    <row r="83" spans="1:38">
      <c r="A83" s="470" t="s">
        <v>952</v>
      </c>
      <c r="B83" s="451"/>
      <c r="C83" s="451"/>
      <c r="D83" s="451"/>
      <c r="E83" s="451"/>
      <c r="F83" s="451"/>
      <c r="G83" s="451"/>
      <c r="H83" s="451"/>
      <c r="I83" s="452"/>
      <c r="J83" s="451"/>
      <c r="K83" s="451"/>
      <c r="L83" s="451"/>
      <c r="M83" s="451"/>
      <c r="N83" s="451"/>
      <c r="O83" s="451"/>
      <c r="P83" s="451"/>
      <c r="Q83" s="558"/>
      <c r="R83" s="451"/>
      <c r="S83" s="452"/>
      <c r="T83" s="456"/>
      <c r="V83" s="454"/>
      <c r="W83" s="454">
        <f t="shared" si="53"/>
        <v>0</v>
      </c>
      <c r="Y83" s="435"/>
      <c r="Z83" s="455"/>
      <c r="AA83" s="455"/>
      <c r="AB83" s="455"/>
      <c r="AC83" s="455"/>
      <c r="AD83" s="455"/>
      <c r="AE83" s="455"/>
      <c r="AF83" s="455"/>
      <c r="AG83" s="455"/>
      <c r="AH83" s="455"/>
      <c r="AI83" s="455"/>
      <c r="AJ83" s="455"/>
      <c r="AK83" s="455"/>
    </row>
    <row r="84" spans="1:38" ht="20.5">
      <c r="A84" s="470" t="s">
        <v>953</v>
      </c>
      <c r="B84" s="451"/>
      <c r="C84" s="451"/>
      <c r="D84" s="451"/>
      <c r="E84" s="451"/>
      <c r="F84" s="451"/>
      <c r="G84" s="451"/>
      <c r="H84" s="451"/>
      <c r="I84" s="452"/>
      <c r="J84" s="451"/>
      <c r="K84" s="451"/>
      <c r="L84" s="451"/>
      <c r="M84" s="451"/>
      <c r="N84" s="451"/>
      <c r="O84" s="451"/>
      <c r="P84" s="451"/>
      <c r="Q84" s="558"/>
      <c r="R84" s="451"/>
      <c r="S84" s="452"/>
      <c r="T84" s="456"/>
      <c r="V84" s="454"/>
      <c r="W84" s="454">
        <f t="shared" si="53"/>
        <v>0</v>
      </c>
      <c r="Y84" s="435"/>
      <c r="Z84" s="455"/>
      <c r="AA84" s="455"/>
      <c r="AB84" s="455"/>
      <c r="AC84" s="455"/>
      <c r="AD84" s="455"/>
      <c r="AE84" s="455"/>
      <c r="AF84" s="455"/>
      <c r="AG84" s="455"/>
      <c r="AH84" s="455"/>
      <c r="AI84" s="455"/>
      <c r="AJ84" s="455"/>
      <c r="AK84" s="455"/>
    </row>
    <row r="85" spans="1:38">
      <c r="A85" s="470" t="s">
        <v>954</v>
      </c>
      <c r="B85" s="451"/>
      <c r="C85" s="451"/>
      <c r="D85" s="451"/>
      <c r="E85" s="451"/>
      <c r="F85" s="451"/>
      <c r="G85" s="451"/>
      <c r="H85" s="451"/>
      <c r="I85" s="452"/>
      <c r="J85" s="451"/>
      <c r="K85" s="451"/>
      <c r="L85" s="451"/>
      <c r="M85" s="451"/>
      <c r="N85" s="451"/>
      <c r="O85" s="451"/>
      <c r="P85" s="451"/>
      <c r="Q85" s="558"/>
      <c r="R85" s="451"/>
      <c r="S85" s="452"/>
      <c r="T85" s="456"/>
      <c r="V85" s="454"/>
      <c r="W85" s="454">
        <f t="shared" si="53"/>
        <v>0</v>
      </c>
      <c r="Y85" s="435"/>
      <c r="Z85" s="455"/>
      <c r="AA85" s="455"/>
      <c r="AB85" s="455"/>
      <c r="AC85" s="455"/>
      <c r="AD85" s="455"/>
      <c r="AE85" s="455"/>
      <c r="AF85" s="455"/>
      <c r="AG85" s="455"/>
      <c r="AH85" s="455"/>
      <c r="AI85" s="455"/>
      <c r="AJ85" s="455"/>
      <c r="AK85" s="455"/>
    </row>
    <row r="86" spans="1:38">
      <c r="A86" s="470" t="s">
        <v>955</v>
      </c>
      <c r="B86" s="451"/>
      <c r="C86" s="451"/>
      <c r="D86" s="451"/>
      <c r="E86" s="451"/>
      <c r="F86" s="451"/>
      <c r="G86" s="451"/>
      <c r="H86" s="451"/>
      <c r="I86" s="452"/>
      <c r="J86" s="451"/>
      <c r="K86" s="451"/>
      <c r="L86" s="451"/>
      <c r="M86" s="451"/>
      <c r="N86" s="451"/>
      <c r="O86" s="451"/>
      <c r="P86" s="451"/>
      <c r="Q86" s="558"/>
      <c r="R86" s="451"/>
      <c r="S86" s="452"/>
      <c r="T86" s="456"/>
      <c r="V86" s="454"/>
      <c r="W86" s="454">
        <f t="shared" si="53"/>
        <v>0</v>
      </c>
      <c r="Y86" s="435"/>
      <c r="Z86" s="455"/>
      <c r="AA86" s="455"/>
      <c r="AB86" s="455"/>
      <c r="AC86" s="455"/>
      <c r="AD86" s="455"/>
      <c r="AE86" s="455"/>
      <c r="AF86" s="455"/>
      <c r="AG86" s="455"/>
      <c r="AH86" s="455"/>
      <c r="AI86" s="455"/>
      <c r="AJ86" s="455"/>
      <c r="AK86" s="455"/>
    </row>
    <row r="87" spans="1:38">
      <c r="A87" s="470" t="s">
        <v>956</v>
      </c>
      <c r="B87" s="451"/>
      <c r="C87" s="451"/>
      <c r="D87" s="451"/>
      <c r="E87" s="451"/>
      <c r="F87" s="451"/>
      <c r="G87" s="451"/>
      <c r="H87" s="451"/>
      <c r="I87" s="452"/>
      <c r="J87" s="451"/>
      <c r="K87" s="451"/>
      <c r="L87" s="451"/>
      <c r="M87" s="451"/>
      <c r="N87" s="451"/>
      <c r="O87" s="451"/>
      <c r="P87" s="451"/>
      <c r="Q87" s="558"/>
      <c r="R87" s="451"/>
      <c r="S87" s="452"/>
      <c r="T87" s="456"/>
      <c r="V87" s="454"/>
      <c r="W87" s="454">
        <f t="shared" si="53"/>
        <v>0</v>
      </c>
      <c r="Y87" s="435"/>
      <c r="Z87" s="455"/>
      <c r="AA87" s="455"/>
      <c r="AB87" s="455"/>
      <c r="AC87" s="455"/>
      <c r="AD87" s="455"/>
      <c r="AE87" s="455"/>
      <c r="AF87" s="455"/>
      <c r="AG87" s="455"/>
      <c r="AH87" s="455"/>
      <c r="AI87" s="455"/>
      <c r="AJ87" s="455"/>
      <c r="AK87" s="455"/>
    </row>
    <row r="88" spans="1:38" ht="20.5">
      <c r="A88" s="470" t="s">
        <v>957</v>
      </c>
      <c r="B88" s="451"/>
      <c r="C88" s="451"/>
      <c r="D88" s="451"/>
      <c r="E88" s="451"/>
      <c r="F88" s="451"/>
      <c r="G88" s="451"/>
      <c r="H88" s="451"/>
      <c r="I88" s="452"/>
      <c r="J88" s="451"/>
      <c r="K88" s="451"/>
      <c r="L88" s="451"/>
      <c r="M88" s="451"/>
      <c r="N88" s="451"/>
      <c r="O88" s="451"/>
      <c r="P88" s="451"/>
      <c r="Q88" s="558"/>
      <c r="R88" s="451"/>
      <c r="S88" s="452"/>
      <c r="T88" s="456"/>
      <c r="V88" s="454"/>
      <c r="W88" s="454">
        <f t="shared" si="53"/>
        <v>0</v>
      </c>
      <c r="Y88" s="435"/>
      <c r="Z88" s="455"/>
      <c r="AA88" s="455"/>
      <c r="AB88" s="455"/>
      <c r="AC88" s="455"/>
      <c r="AD88" s="455"/>
      <c r="AE88" s="455"/>
      <c r="AF88" s="455"/>
      <c r="AG88" s="455"/>
      <c r="AH88" s="455"/>
      <c r="AI88" s="455"/>
      <c r="AJ88" s="455"/>
      <c r="AK88" s="455"/>
    </row>
    <row r="89" spans="1:38" ht="20.5">
      <c r="A89" s="470" t="s">
        <v>958</v>
      </c>
      <c r="B89" s="451"/>
      <c r="C89" s="451"/>
      <c r="D89" s="451"/>
      <c r="E89" s="451"/>
      <c r="F89" s="451"/>
      <c r="G89" s="451"/>
      <c r="H89" s="451"/>
      <c r="I89" s="452"/>
      <c r="J89" s="451"/>
      <c r="K89" s="451"/>
      <c r="L89" s="451"/>
      <c r="M89" s="451"/>
      <c r="N89" s="451"/>
      <c r="O89" s="451"/>
      <c r="P89" s="451"/>
      <c r="Q89" s="558"/>
      <c r="R89" s="451"/>
      <c r="S89" s="452"/>
      <c r="T89" s="456"/>
      <c r="V89" s="454"/>
      <c r="W89" s="454">
        <f t="shared" si="53"/>
        <v>0</v>
      </c>
      <c r="Y89" s="435"/>
      <c r="Z89" s="455"/>
      <c r="AA89" s="455"/>
      <c r="AB89" s="455"/>
      <c r="AC89" s="455"/>
      <c r="AD89" s="455"/>
      <c r="AE89" s="455"/>
      <c r="AF89" s="455"/>
      <c r="AG89" s="455"/>
      <c r="AH89" s="455"/>
      <c r="AI89" s="455"/>
      <c r="AJ89" s="455"/>
      <c r="AK89" s="455"/>
    </row>
    <row r="90" spans="1:38" ht="20.5">
      <c r="A90" s="470" t="s">
        <v>959</v>
      </c>
      <c r="B90" s="451"/>
      <c r="C90" s="451"/>
      <c r="D90" s="451"/>
      <c r="E90" s="451"/>
      <c r="F90" s="451"/>
      <c r="G90" s="451"/>
      <c r="H90" s="451"/>
      <c r="I90" s="452"/>
      <c r="J90" s="451"/>
      <c r="K90" s="451"/>
      <c r="L90" s="451"/>
      <c r="M90" s="451"/>
      <c r="N90" s="451"/>
      <c r="O90" s="451"/>
      <c r="P90" s="451"/>
      <c r="Q90" s="558"/>
      <c r="R90" s="451"/>
      <c r="S90" s="452"/>
      <c r="T90" s="456"/>
      <c r="V90" s="454"/>
      <c r="W90" s="454">
        <f t="shared" si="53"/>
        <v>0</v>
      </c>
      <c r="Y90" s="435"/>
      <c r="Z90" s="455"/>
      <c r="AA90" s="455"/>
      <c r="AB90" s="455"/>
      <c r="AC90" s="455"/>
      <c r="AD90" s="455"/>
      <c r="AE90" s="455"/>
      <c r="AF90" s="455"/>
      <c r="AG90" s="455"/>
      <c r="AH90" s="455"/>
      <c r="AI90" s="455"/>
      <c r="AJ90" s="455"/>
      <c r="AK90" s="455"/>
    </row>
    <row r="91" spans="1:38" s="466" customFormat="1" ht="13">
      <c r="A91" s="494" t="s">
        <v>960</v>
      </c>
      <c r="B91" s="495">
        <f>SUM(B79:B90)</f>
        <v>0</v>
      </c>
      <c r="C91" s="495">
        <f t="shared" ref="C91:H91" si="54">SUM(C79:C90)</f>
        <v>0</v>
      </c>
      <c r="D91" s="495">
        <f t="shared" si="54"/>
        <v>0</v>
      </c>
      <c r="E91" s="496">
        <f t="shared" si="54"/>
        <v>0</v>
      </c>
      <c r="F91" s="495">
        <f t="shared" si="54"/>
        <v>0</v>
      </c>
      <c r="G91" s="495">
        <f t="shared" si="54"/>
        <v>0</v>
      </c>
      <c r="H91" s="495">
        <f t="shared" si="54"/>
        <v>0</v>
      </c>
      <c r="I91" s="460" t="str">
        <f t="shared" ref="I91:I93" si="55">IFERROR((F91/G91),"")</f>
        <v/>
      </c>
      <c r="J91" s="496"/>
      <c r="K91" s="495">
        <f t="shared" ref="K91:R91" si="56">SUM(K79:K90)</f>
        <v>0</v>
      </c>
      <c r="L91" s="495">
        <f t="shared" si="56"/>
        <v>0</v>
      </c>
      <c r="M91" s="495">
        <f t="shared" si="56"/>
        <v>0</v>
      </c>
      <c r="N91" s="496">
        <f t="shared" si="56"/>
        <v>0</v>
      </c>
      <c r="O91" s="495">
        <f t="shared" si="56"/>
        <v>0</v>
      </c>
      <c r="P91" s="495">
        <f t="shared" si="56"/>
        <v>0</v>
      </c>
      <c r="Q91" s="564">
        <f t="shared" si="56"/>
        <v>0</v>
      </c>
      <c r="R91" s="495">
        <f t="shared" si="56"/>
        <v>0</v>
      </c>
      <c r="S91" s="461" t="str">
        <f t="shared" ref="S91:S93" si="57">IFERROR((R91/L91),"")</f>
        <v/>
      </c>
      <c r="T91" s="497"/>
      <c r="U91" s="571"/>
      <c r="V91" s="498">
        <f t="shared" ref="V91:W91" si="58">SUM(V79:V90)</f>
        <v>0</v>
      </c>
      <c r="W91" s="498">
        <f t="shared" si="58"/>
        <v>0</v>
      </c>
      <c r="X91" s="427"/>
      <c r="Y91" s="435"/>
      <c r="Z91" s="455"/>
      <c r="AA91" s="455"/>
      <c r="AB91" s="455"/>
      <c r="AC91" s="455"/>
      <c r="AD91" s="455"/>
      <c r="AE91" s="455"/>
      <c r="AF91" s="455"/>
      <c r="AG91" s="455"/>
      <c r="AH91" s="455"/>
      <c r="AI91" s="455"/>
      <c r="AJ91" s="455"/>
      <c r="AK91" s="455"/>
      <c r="AL91" s="427"/>
    </row>
    <row r="92" spans="1:38" s="466" customFormat="1" ht="13">
      <c r="A92" s="471" t="s">
        <v>238</v>
      </c>
      <c r="B92" s="499">
        <f>B77+B91</f>
        <v>0</v>
      </c>
      <c r="C92" s="499">
        <f t="shared" ref="C92:H92" si="59">C77+C91</f>
        <v>0</v>
      </c>
      <c r="D92" s="499">
        <f t="shared" si="59"/>
        <v>0</v>
      </c>
      <c r="E92" s="496">
        <f t="shared" si="59"/>
        <v>0</v>
      </c>
      <c r="F92" s="499">
        <f t="shared" si="59"/>
        <v>0</v>
      </c>
      <c r="G92" s="499">
        <f t="shared" si="59"/>
        <v>0</v>
      </c>
      <c r="H92" s="499">
        <f t="shared" si="59"/>
        <v>0</v>
      </c>
      <c r="I92" s="473" t="str">
        <f t="shared" si="55"/>
        <v/>
      </c>
      <c r="J92" s="496"/>
      <c r="K92" s="499">
        <f t="shared" ref="K92:R92" si="60">K77+K91</f>
        <v>0</v>
      </c>
      <c r="L92" s="499">
        <f t="shared" si="60"/>
        <v>0</v>
      </c>
      <c r="M92" s="499">
        <f t="shared" si="60"/>
        <v>0</v>
      </c>
      <c r="N92" s="496">
        <f t="shared" si="60"/>
        <v>0</v>
      </c>
      <c r="O92" s="499">
        <f t="shared" si="60"/>
        <v>0</v>
      </c>
      <c r="P92" s="499">
        <f t="shared" si="60"/>
        <v>0</v>
      </c>
      <c r="Q92" s="564">
        <f t="shared" si="60"/>
        <v>0</v>
      </c>
      <c r="R92" s="499">
        <f t="shared" si="60"/>
        <v>0</v>
      </c>
      <c r="S92" s="474" t="str">
        <f t="shared" si="57"/>
        <v/>
      </c>
      <c r="T92" s="500"/>
      <c r="U92" s="571"/>
      <c r="V92" s="501">
        <f t="shared" ref="V92:W92" si="61">V77+V91</f>
        <v>0</v>
      </c>
      <c r="W92" s="501">
        <f t="shared" si="61"/>
        <v>0</v>
      </c>
      <c r="X92" s="427"/>
      <c r="Y92" s="435"/>
      <c r="Z92" s="455"/>
      <c r="AA92" s="455"/>
      <c r="AB92" s="455"/>
      <c r="AC92" s="455"/>
      <c r="AD92" s="455"/>
      <c r="AE92" s="455"/>
      <c r="AF92" s="455"/>
      <c r="AG92" s="455"/>
      <c r="AH92" s="455"/>
      <c r="AI92" s="455"/>
      <c r="AJ92" s="455"/>
      <c r="AK92" s="455"/>
      <c r="AL92" s="427"/>
    </row>
    <row r="93" spans="1:38" s="466" customFormat="1" ht="28">
      <c r="A93" s="502" t="s">
        <v>961</v>
      </c>
      <c r="B93" s="503">
        <f t="shared" ref="B93:H93" si="62">-SUM(B65,B92)</f>
        <v>0</v>
      </c>
      <c r="C93" s="503">
        <f t="shared" si="62"/>
        <v>0</v>
      </c>
      <c r="D93" s="503">
        <f t="shared" si="62"/>
        <v>0</v>
      </c>
      <c r="E93" s="504">
        <f t="shared" si="62"/>
        <v>0</v>
      </c>
      <c r="F93" s="503">
        <f t="shared" si="62"/>
        <v>0</v>
      </c>
      <c r="G93" s="503">
        <f t="shared" si="62"/>
        <v>0</v>
      </c>
      <c r="H93" s="503">
        <f t="shared" si="62"/>
        <v>0</v>
      </c>
      <c r="I93" s="505" t="str">
        <f t="shared" si="55"/>
        <v/>
      </c>
      <c r="J93" s="504"/>
      <c r="K93" s="503">
        <f t="shared" ref="K93:R93" si="63">-SUM(K65,K92)</f>
        <v>0</v>
      </c>
      <c r="L93" s="503">
        <f t="shared" si="63"/>
        <v>0</v>
      </c>
      <c r="M93" s="503">
        <f t="shared" si="63"/>
        <v>0</v>
      </c>
      <c r="N93" s="504">
        <f t="shared" si="63"/>
        <v>0</v>
      </c>
      <c r="O93" s="503">
        <f t="shared" si="63"/>
        <v>0</v>
      </c>
      <c r="P93" s="503">
        <f t="shared" si="63"/>
        <v>0</v>
      </c>
      <c r="Q93" s="565">
        <f t="shared" si="63"/>
        <v>0</v>
      </c>
      <c r="R93" s="503">
        <f t="shared" si="63"/>
        <v>0</v>
      </c>
      <c r="S93" s="506" t="str">
        <f t="shared" si="57"/>
        <v/>
      </c>
      <c r="T93" s="507"/>
      <c r="U93" s="584"/>
      <c r="V93" s="503">
        <f>-SUM(V65,V92)</f>
        <v>0</v>
      </c>
      <c r="W93" s="503">
        <f>-SUM(W65,W92)</f>
        <v>0</v>
      </c>
      <c r="X93" s="427"/>
      <c r="Y93" s="435"/>
      <c r="Z93" s="455"/>
      <c r="AA93" s="455"/>
      <c r="AB93" s="455"/>
      <c r="AC93" s="455"/>
      <c r="AD93" s="455"/>
      <c r="AE93" s="455"/>
      <c r="AF93" s="455"/>
      <c r="AG93" s="455"/>
      <c r="AH93" s="455"/>
      <c r="AI93" s="455"/>
      <c r="AJ93" s="455"/>
      <c r="AK93" s="455"/>
      <c r="AL93" s="427"/>
    </row>
    <row r="94" spans="1:38" ht="15.5">
      <c r="A94" s="508" t="s">
        <v>962</v>
      </c>
      <c r="B94" s="482"/>
      <c r="C94" s="482"/>
      <c r="D94" s="482"/>
      <c r="E94" s="482"/>
      <c r="F94" s="482"/>
      <c r="G94" s="482"/>
      <c r="H94" s="482"/>
      <c r="I94" s="483"/>
      <c r="J94" s="482"/>
      <c r="K94" s="482"/>
      <c r="L94" s="482"/>
      <c r="M94" s="482"/>
      <c r="N94" s="482"/>
      <c r="O94" s="482"/>
      <c r="P94" s="482"/>
      <c r="Q94" s="562"/>
      <c r="R94" s="482"/>
      <c r="S94" s="483"/>
      <c r="T94" s="484"/>
      <c r="V94" s="485"/>
      <c r="W94" s="485"/>
      <c r="Y94" s="435"/>
      <c r="Z94" s="455"/>
      <c r="AA94" s="455"/>
      <c r="AB94" s="455"/>
      <c r="AC94" s="455"/>
      <c r="AD94" s="455"/>
      <c r="AE94" s="455"/>
      <c r="AF94" s="455"/>
      <c r="AG94" s="455"/>
      <c r="AH94" s="455"/>
      <c r="AI94" s="455"/>
      <c r="AJ94" s="455"/>
      <c r="AK94" s="455"/>
    </row>
    <row r="95" spans="1:38" ht="13">
      <c r="A95" s="470" t="s">
        <v>963</v>
      </c>
      <c r="B95" s="451"/>
      <c r="C95" s="451"/>
      <c r="D95" s="451"/>
      <c r="E95" s="451"/>
      <c r="F95" s="451"/>
      <c r="G95" s="451"/>
      <c r="H95" s="451"/>
      <c r="I95" s="452"/>
      <c r="J95" s="451"/>
      <c r="K95" s="451"/>
      <c r="L95" s="451"/>
      <c r="M95" s="451"/>
      <c r="N95" s="451"/>
      <c r="O95" s="451"/>
      <c r="P95" s="451"/>
      <c r="Q95" s="558"/>
      <c r="R95" s="451"/>
      <c r="S95" s="452"/>
      <c r="T95" s="456"/>
      <c r="V95" s="454"/>
      <c r="W95" s="454">
        <f t="shared" ref="W95:W97" si="64">+Q95-V95</f>
        <v>0</v>
      </c>
      <c r="Y95" s="435"/>
      <c r="Z95" s="509"/>
      <c r="AA95" s="509"/>
      <c r="AB95" s="509"/>
      <c r="AC95" s="509"/>
      <c r="AD95" s="509"/>
      <c r="AE95" s="509"/>
      <c r="AF95" s="509"/>
      <c r="AG95" s="509"/>
      <c r="AH95" s="509"/>
      <c r="AI95" s="509"/>
      <c r="AJ95" s="509"/>
      <c r="AK95" s="509"/>
      <c r="AL95" s="465"/>
    </row>
    <row r="96" spans="1:38" ht="13">
      <c r="A96" s="470" t="s">
        <v>964</v>
      </c>
      <c r="B96" s="451"/>
      <c r="C96" s="451"/>
      <c r="D96" s="451"/>
      <c r="E96" s="451"/>
      <c r="F96" s="451"/>
      <c r="G96" s="451"/>
      <c r="H96" s="451"/>
      <c r="I96" s="452"/>
      <c r="J96" s="451"/>
      <c r="K96" s="451"/>
      <c r="L96" s="451"/>
      <c r="M96" s="451"/>
      <c r="N96" s="451"/>
      <c r="O96" s="451"/>
      <c r="P96" s="451"/>
      <c r="Q96" s="558"/>
      <c r="R96" s="451"/>
      <c r="S96" s="452"/>
      <c r="T96" s="456"/>
      <c r="V96" s="454"/>
      <c r="W96" s="454">
        <f t="shared" si="64"/>
        <v>0</v>
      </c>
      <c r="Y96" s="435"/>
      <c r="Z96" s="510"/>
      <c r="AA96" s="510"/>
      <c r="AB96" s="510"/>
      <c r="AC96" s="510"/>
      <c r="AD96" s="510"/>
      <c r="AE96" s="510"/>
      <c r="AF96" s="510"/>
      <c r="AG96" s="510"/>
      <c r="AH96" s="510"/>
      <c r="AI96" s="510"/>
      <c r="AJ96" s="510"/>
      <c r="AK96" s="510"/>
      <c r="AL96" s="465"/>
    </row>
    <row r="97" spans="1:38" ht="20.5">
      <c r="A97" s="470" t="s">
        <v>965</v>
      </c>
      <c r="B97" s="451"/>
      <c r="C97" s="451"/>
      <c r="D97" s="451"/>
      <c r="E97" s="451"/>
      <c r="F97" s="451"/>
      <c r="G97" s="451"/>
      <c r="H97" s="451"/>
      <c r="I97" s="452"/>
      <c r="J97" s="451"/>
      <c r="K97" s="451"/>
      <c r="L97" s="451"/>
      <c r="M97" s="451"/>
      <c r="N97" s="451"/>
      <c r="O97" s="451"/>
      <c r="P97" s="451"/>
      <c r="Q97" s="558"/>
      <c r="R97" s="451"/>
      <c r="S97" s="452"/>
      <c r="T97" s="456"/>
      <c r="V97" s="454"/>
      <c r="W97" s="454">
        <f t="shared" si="64"/>
        <v>0</v>
      </c>
      <c r="Y97" s="435"/>
      <c r="Z97" s="511"/>
      <c r="AA97" s="511"/>
      <c r="AB97" s="511"/>
      <c r="AC97" s="511"/>
      <c r="AD97" s="511"/>
      <c r="AE97" s="511"/>
      <c r="AF97" s="511"/>
      <c r="AG97" s="511"/>
      <c r="AH97" s="511"/>
      <c r="AI97" s="511"/>
      <c r="AJ97" s="511"/>
      <c r="AK97" s="511"/>
      <c r="AL97" s="465"/>
    </row>
    <row r="98" spans="1:38" ht="31">
      <c r="A98" s="512" t="s">
        <v>966</v>
      </c>
      <c r="B98" s="513">
        <f t="shared" ref="B98:M98" si="65">B95+B93+B96</f>
        <v>0</v>
      </c>
      <c r="C98" s="513">
        <f t="shared" si="65"/>
        <v>0</v>
      </c>
      <c r="D98" s="513">
        <f t="shared" si="65"/>
        <v>0</v>
      </c>
      <c r="E98" s="514"/>
      <c r="F98" s="513">
        <f t="shared" si="65"/>
        <v>0</v>
      </c>
      <c r="G98" s="513">
        <f t="shared" si="65"/>
        <v>0</v>
      </c>
      <c r="H98" s="513">
        <f t="shared" si="65"/>
        <v>0</v>
      </c>
      <c r="I98" s="515" t="str">
        <f t="shared" ref="I98" si="66">IFERROR((F98/G98),"")</f>
        <v/>
      </c>
      <c r="J98" s="514"/>
      <c r="K98" s="513">
        <f t="shared" si="65"/>
        <v>0</v>
      </c>
      <c r="L98" s="513">
        <f t="shared" si="65"/>
        <v>0</v>
      </c>
      <c r="M98" s="513">
        <f t="shared" si="65"/>
        <v>0</v>
      </c>
      <c r="N98" s="514"/>
      <c r="O98" s="513">
        <f>O95+O93+O96</f>
        <v>0</v>
      </c>
      <c r="P98" s="513">
        <f t="shared" ref="P98:R98" si="67">P95+P93+P96</f>
        <v>0</v>
      </c>
      <c r="Q98" s="566">
        <f t="shared" si="67"/>
        <v>0</v>
      </c>
      <c r="R98" s="513">
        <f t="shared" si="67"/>
        <v>0</v>
      </c>
      <c r="S98" s="516" t="str">
        <f t="shared" ref="S98" si="68">IFERROR((R98/L98),"")</f>
        <v/>
      </c>
      <c r="T98" s="517"/>
      <c r="V98" s="518">
        <f t="shared" ref="V98:W98" si="69">V95+V93+V96</f>
        <v>0</v>
      </c>
      <c r="W98" s="518">
        <f t="shared" si="69"/>
        <v>0</v>
      </c>
      <c r="Y98" s="435"/>
      <c r="Z98" s="492"/>
      <c r="AA98" s="492"/>
      <c r="AB98" s="492"/>
      <c r="AC98" s="492"/>
      <c r="AD98" s="492"/>
      <c r="AE98" s="492"/>
      <c r="AF98" s="492"/>
      <c r="AG98" s="492"/>
      <c r="AH98" s="492"/>
      <c r="AI98" s="492"/>
      <c r="AJ98" s="492"/>
      <c r="AK98" s="492"/>
    </row>
    <row r="99" spans="1:38" ht="15.5">
      <c r="A99" s="519"/>
      <c r="B99" s="520"/>
      <c r="C99" s="520"/>
      <c r="D99" s="520"/>
      <c r="E99" s="520"/>
      <c r="F99" s="520"/>
      <c r="G99" s="520"/>
      <c r="H99" s="520"/>
      <c r="I99" s="521"/>
      <c r="J99" s="520"/>
      <c r="K99" s="522"/>
      <c r="L99" s="520"/>
      <c r="M99" s="520"/>
      <c r="N99" s="520"/>
      <c r="O99" s="520"/>
      <c r="P99" s="522"/>
      <c r="Q99" s="567"/>
      <c r="R99" s="466"/>
      <c r="S99" s="469"/>
      <c r="T99" s="520"/>
      <c r="V99" s="523"/>
      <c r="Y99" s="435"/>
      <c r="Z99" s="455"/>
      <c r="AA99" s="455"/>
      <c r="AB99" s="455"/>
      <c r="AC99" s="455"/>
      <c r="AD99" s="455"/>
      <c r="AE99" s="455"/>
      <c r="AF99" s="455"/>
      <c r="AG99" s="455"/>
      <c r="AH99" s="455"/>
      <c r="AI99" s="455"/>
      <c r="AJ99" s="455"/>
      <c r="AK99" s="455"/>
    </row>
    <row r="100" spans="1:38" ht="15.5">
      <c r="A100" s="519"/>
      <c r="B100" s="520"/>
      <c r="I100" s="423"/>
      <c r="M100" s="524" t="s">
        <v>967</v>
      </c>
      <c r="N100" s="525"/>
      <c r="O100" s="524"/>
      <c r="P100" s="524"/>
      <c r="Q100" s="568"/>
      <c r="R100" s="526"/>
      <c r="S100" s="527"/>
      <c r="T100" s="528"/>
      <c r="U100" s="585"/>
      <c r="V100" s="528"/>
      <c r="W100" s="529"/>
      <c r="Y100" s="435"/>
      <c r="Z100" s="455"/>
      <c r="AA100" s="455"/>
      <c r="AB100" s="455"/>
      <c r="AC100" s="455"/>
      <c r="AD100" s="455"/>
      <c r="AE100" s="455"/>
      <c r="AF100" s="455"/>
      <c r="AG100" s="455"/>
      <c r="AH100" s="455"/>
      <c r="AI100" s="455"/>
      <c r="AJ100" s="455"/>
      <c r="AK100" s="455"/>
    </row>
    <row r="101" spans="1:38" ht="15.5">
      <c r="A101" s="519"/>
      <c r="B101" s="520"/>
      <c r="C101" s="520"/>
      <c r="D101" s="520"/>
      <c r="E101" s="520"/>
      <c r="F101" s="520"/>
      <c r="G101" s="530"/>
      <c r="H101" s="530"/>
      <c r="I101" s="531"/>
      <c r="K101" s="530"/>
      <c r="M101" s="520"/>
      <c r="N101" s="520"/>
      <c r="O101" s="520"/>
      <c r="P101" s="532"/>
      <c r="Q101" s="569"/>
      <c r="R101" s="533"/>
      <c r="S101" s="534"/>
      <c r="T101" s="535"/>
      <c r="V101" s="535"/>
      <c r="W101" s="536"/>
      <c r="Y101" s="435"/>
      <c r="Z101" s="455"/>
      <c r="AA101" s="455"/>
      <c r="AB101" s="455"/>
      <c r="AC101" s="455"/>
      <c r="AD101" s="455"/>
      <c r="AE101" s="455"/>
      <c r="AF101" s="455"/>
      <c r="AG101" s="455"/>
      <c r="AH101" s="455"/>
      <c r="AI101" s="455"/>
      <c r="AJ101" s="455"/>
      <c r="AK101" s="455"/>
    </row>
    <row r="102" spans="1:38" ht="25" customHeight="1">
      <c r="A102" s="537"/>
      <c r="F102" s="538" t="s">
        <v>968</v>
      </c>
      <c r="G102" s="539"/>
      <c r="H102" s="525"/>
      <c r="I102" s="540"/>
      <c r="J102" s="525"/>
      <c r="K102" s="541" t="s">
        <v>969</v>
      </c>
      <c r="L102" s="542"/>
      <c r="M102" s="543"/>
      <c r="N102" s="542"/>
      <c r="O102" s="525"/>
      <c r="P102" s="540">
        <v>100000</v>
      </c>
      <c r="Q102" s="569"/>
      <c r="R102" s="533"/>
      <c r="S102" s="534"/>
      <c r="T102" s="535"/>
      <c r="V102" s="535"/>
      <c r="W102" s="536"/>
      <c r="Y102" s="435"/>
      <c r="Z102" s="544"/>
      <c r="AA102" s="544"/>
      <c r="AB102" s="544"/>
      <c r="AC102" s="544"/>
      <c r="AD102" s="544"/>
      <c r="AE102" s="544"/>
      <c r="AF102" s="544"/>
      <c r="AG102" s="544"/>
      <c r="AH102" s="544"/>
      <c r="AI102" s="544"/>
      <c r="AJ102" s="544"/>
      <c r="AK102" s="544"/>
    </row>
    <row r="103" spans="1:38" ht="25" customHeight="1">
      <c r="A103" s="537"/>
      <c r="F103" s="538" t="s">
        <v>970</v>
      </c>
      <c r="G103" s="539"/>
      <c r="H103" s="525"/>
      <c r="I103" s="545">
        <f>O93</f>
        <v>0</v>
      </c>
      <c r="J103" s="525"/>
      <c r="K103" s="538" t="s">
        <v>971</v>
      </c>
      <c r="L103" s="546"/>
      <c r="M103" s="547"/>
      <c r="N103" s="539"/>
      <c r="O103" s="525"/>
      <c r="P103" s="545">
        <f>O98</f>
        <v>0</v>
      </c>
      <c r="Q103" s="569"/>
      <c r="R103" s="533"/>
      <c r="S103" s="534"/>
      <c r="T103" s="535"/>
      <c r="V103" s="535"/>
      <c r="W103" s="536"/>
      <c r="Y103" s="435"/>
    </row>
    <row r="104" spans="1:38" ht="25" customHeight="1">
      <c r="A104" s="537"/>
      <c r="F104" s="538" t="s">
        <v>972</v>
      </c>
      <c r="G104" s="539"/>
      <c r="H104" s="525"/>
      <c r="I104" s="545"/>
      <c r="J104" s="525"/>
      <c r="K104" s="538" t="s">
        <v>973</v>
      </c>
      <c r="L104" s="546"/>
      <c r="M104" s="547"/>
      <c r="N104" s="539"/>
      <c r="O104" s="525"/>
      <c r="P104" s="545">
        <f>P103+I104</f>
        <v>0</v>
      </c>
      <c r="Q104" s="569"/>
      <c r="R104" s="548"/>
      <c r="S104" s="549"/>
      <c r="T104" s="550"/>
      <c r="U104" s="586"/>
      <c r="V104" s="550"/>
      <c r="W104" s="551"/>
      <c r="Y104" s="435"/>
    </row>
    <row r="105" spans="1:38">
      <c r="Y105" s="435"/>
    </row>
    <row r="106" spans="1:38" ht="15.5">
      <c r="A106" s="436"/>
      <c r="B106" s="726" t="s">
        <v>864</v>
      </c>
      <c r="C106" s="726"/>
      <c r="D106" s="726"/>
      <c r="E106" s="437"/>
      <c r="F106" s="726" t="s">
        <v>865</v>
      </c>
      <c r="G106" s="726"/>
      <c r="H106" s="726"/>
      <c r="I106" s="726"/>
      <c r="J106" s="437"/>
      <c r="K106" s="726" t="s">
        <v>866</v>
      </c>
      <c r="L106" s="726"/>
      <c r="M106" s="726"/>
      <c r="N106" s="437"/>
      <c r="O106" s="726" t="s">
        <v>797</v>
      </c>
      <c r="P106" s="726"/>
      <c r="Q106" s="726"/>
      <c r="R106" s="726"/>
      <c r="S106" s="726"/>
      <c r="T106" s="726"/>
      <c r="V106" s="727" t="s">
        <v>867</v>
      </c>
      <c r="W106" s="727"/>
      <c r="X106" s="552"/>
      <c r="Y106" s="435"/>
    </row>
    <row r="107" spans="1:38" ht="39">
      <c r="A107" s="553" t="s">
        <v>974</v>
      </c>
      <c r="B107" s="440" t="str">
        <f>+B6</f>
        <v>Actual</v>
      </c>
      <c r="C107" s="440" t="str">
        <f>+C6</f>
        <v>Current Budget</v>
      </c>
      <c r="D107" s="440" t="str">
        <f>+D6</f>
        <v>Variance</v>
      </c>
      <c r="E107" s="441"/>
      <c r="F107" s="440" t="str">
        <f>+F6</f>
        <v>Actual</v>
      </c>
      <c r="G107" s="440" t="str">
        <f>+G6</f>
        <v>Current Budget</v>
      </c>
      <c r="H107" s="440" t="str">
        <f>+H6</f>
        <v>Variance</v>
      </c>
      <c r="I107" s="442" t="str">
        <f>+I6</f>
        <v>% Variance</v>
      </c>
      <c r="J107" s="441"/>
      <c r="K107" s="440" t="str">
        <f>+K6</f>
        <v>2024-25 Out turn</v>
      </c>
      <c r="L107" s="440" t="str">
        <f>+L6</f>
        <v>2025-26 Signed Budget</v>
      </c>
      <c r="M107" s="440" t="str">
        <f>+M6</f>
        <v>2025-26 Current Budget</v>
      </c>
      <c r="N107" s="441"/>
      <c r="O107" s="440" t="str">
        <f t="shared" ref="O107:T107" si="70">+O6</f>
        <v>Total to date</v>
      </c>
      <c r="P107" s="440" t="str">
        <f t="shared" si="70"/>
        <v>Additional commitment</v>
      </c>
      <c r="Q107" s="557" t="str">
        <f t="shared" si="70"/>
        <v>Projected Budget Outturn</v>
      </c>
      <c r="R107" s="440" t="str">
        <f t="shared" si="70"/>
        <v>Variance to Signed Budget</v>
      </c>
      <c r="S107" s="442" t="str">
        <f t="shared" si="70"/>
        <v>% Variance</v>
      </c>
      <c r="T107" s="440" t="str">
        <f t="shared" si="70"/>
        <v>Comments</v>
      </c>
      <c r="U107" s="583"/>
      <c r="V107" s="443" t="str">
        <f>+V6</f>
        <v>Previous Projected Out turn</v>
      </c>
      <c r="W107" s="443" t="str">
        <f>+W6</f>
        <v>Variance to Current</v>
      </c>
      <c r="Y107" s="435"/>
    </row>
    <row r="108" spans="1:38" ht="15.5">
      <c r="A108" s="508" t="s">
        <v>975</v>
      </c>
      <c r="B108" s="441"/>
      <c r="C108" s="441"/>
      <c r="D108" s="441"/>
      <c r="E108" s="441"/>
      <c r="F108" s="441"/>
      <c r="G108" s="441"/>
      <c r="H108" s="441"/>
      <c r="I108" s="447"/>
      <c r="J108" s="441"/>
      <c r="K108" s="441"/>
      <c r="L108" s="441"/>
      <c r="M108" s="441"/>
      <c r="N108" s="441"/>
      <c r="O108" s="441"/>
      <c r="P108" s="441"/>
      <c r="Q108" s="557"/>
      <c r="R108" s="441"/>
      <c r="S108" s="447"/>
      <c r="T108" s="448"/>
      <c r="V108" s="446"/>
      <c r="W108" s="446"/>
      <c r="Y108" s="435"/>
    </row>
    <row r="109" spans="1:38" ht="23.15" customHeight="1">
      <c r="A109" s="470" t="s">
        <v>976</v>
      </c>
      <c r="B109" s="451"/>
      <c r="C109" s="451"/>
      <c r="D109" s="451"/>
      <c r="E109" s="451"/>
      <c r="F109" s="451"/>
      <c r="G109" s="451"/>
      <c r="H109" s="451"/>
      <c r="I109" s="452"/>
      <c r="J109" s="451"/>
      <c r="K109" s="451"/>
      <c r="L109" s="451"/>
      <c r="M109" s="451"/>
      <c r="N109" s="451"/>
      <c r="O109" s="451"/>
      <c r="P109" s="451"/>
      <c r="Q109" s="558"/>
      <c r="R109" s="451"/>
      <c r="S109" s="452" t="str">
        <f t="shared" ref="S109:S117" si="71">IFERROR((R109/L109),"")</f>
        <v/>
      </c>
      <c r="T109" s="456"/>
      <c r="V109" s="454"/>
      <c r="W109" s="454">
        <f t="shared" ref="W109:W116" si="72">+Q109-V109</f>
        <v>0</v>
      </c>
      <c r="Y109" s="435"/>
    </row>
    <row r="110" spans="1:38" ht="23.15" customHeight="1">
      <c r="A110" s="470" t="s">
        <v>977</v>
      </c>
      <c r="B110" s="451"/>
      <c r="C110" s="451"/>
      <c r="D110" s="451"/>
      <c r="E110" s="451"/>
      <c r="F110" s="451"/>
      <c r="G110" s="451"/>
      <c r="H110" s="451"/>
      <c r="I110" s="452"/>
      <c r="J110" s="451"/>
      <c r="K110" s="451"/>
      <c r="L110" s="451"/>
      <c r="M110" s="451"/>
      <c r="N110" s="451"/>
      <c r="O110" s="451"/>
      <c r="P110" s="451"/>
      <c r="Q110" s="558"/>
      <c r="R110" s="451"/>
      <c r="S110" s="452" t="str">
        <f t="shared" si="71"/>
        <v/>
      </c>
      <c r="T110" s="456"/>
      <c r="V110" s="454"/>
      <c r="W110" s="454">
        <f t="shared" si="72"/>
        <v>0</v>
      </c>
      <c r="Y110" s="435"/>
      <c r="Z110" s="438"/>
      <c r="AA110" s="438"/>
      <c r="AB110" s="438"/>
      <c r="AC110" s="438"/>
      <c r="AD110" s="438"/>
      <c r="AE110" s="438"/>
      <c r="AF110" s="438"/>
      <c r="AG110" s="438"/>
      <c r="AH110" s="438"/>
      <c r="AI110" s="438"/>
      <c r="AJ110" s="438"/>
      <c r="AK110" s="438"/>
    </row>
    <row r="111" spans="1:38" ht="23.15" customHeight="1">
      <c r="A111" s="470" t="s">
        <v>978</v>
      </c>
      <c r="B111" s="451"/>
      <c r="C111" s="451"/>
      <c r="D111" s="451"/>
      <c r="E111" s="451"/>
      <c r="F111" s="451"/>
      <c r="G111" s="451"/>
      <c r="H111" s="451"/>
      <c r="I111" s="452"/>
      <c r="J111" s="451"/>
      <c r="K111" s="451"/>
      <c r="L111" s="451"/>
      <c r="M111" s="451"/>
      <c r="N111" s="451"/>
      <c r="O111" s="451"/>
      <c r="P111" s="451"/>
      <c r="Q111" s="558"/>
      <c r="R111" s="451"/>
      <c r="S111" s="452" t="str">
        <f t="shared" si="71"/>
        <v/>
      </c>
      <c r="T111" s="456"/>
      <c r="V111" s="454"/>
      <c r="W111" s="454">
        <f t="shared" si="72"/>
        <v>0</v>
      </c>
      <c r="Y111" s="435"/>
      <c r="Z111" s="440" t="s">
        <v>881</v>
      </c>
      <c r="AA111" s="440" t="s">
        <v>881</v>
      </c>
      <c r="AB111" s="440" t="s">
        <v>881</v>
      </c>
      <c r="AC111" s="440" t="s">
        <v>881</v>
      </c>
      <c r="AD111" s="440" t="s">
        <v>881</v>
      </c>
      <c r="AE111" s="440" t="s">
        <v>881</v>
      </c>
      <c r="AF111" s="440" t="s">
        <v>881</v>
      </c>
      <c r="AG111" s="440" t="s">
        <v>881</v>
      </c>
      <c r="AH111" s="440" t="s">
        <v>881</v>
      </c>
      <c r="AI111" s="440" t="s">
        <v>881</v>
      </c>
      <c r="AJ111" s="440" t="s">
        <v>881</v>
      </c>
      <c r="AK111" s="440" t="s">
        <v>881</v>
      </c>
    </row>
    <row r="112" spans="1:38" ht="23.15" customHeight="1">
      <c r="A112" s="470" t="s">
        <v>988</v>
      </c>
      <c r="B112" s="451"/>
      <c r="C112" s="451"/>
      <c r="D112" s="451"/>
      <c r="E112" s="451"/>
      <c r="F112" s="451"/>
      <c r="G112" s="451"/>
      <c r="H112" s="451"/>
      <c r="I112" s="452"/>
      <c r="J112" s="451"/>
      <c r="K112" s="451"/>
      <c r="L112" s="451"/>
      <c r="M112" s="451"/>
      <c r="N112" s="451"/>
      <c r="O112" s="451"/>
      <c r="P112" s="451"/>
      <c r="Q112" s="558"/>
      <c r="R112" s="451"/>
      <c r="S112" s="452" t="str">
        <f t="shared" si="71"/>
        <v/>
      </c>
      <c r="T112" s="456"/>
      <c r="V112" s="454"/>
      <c r="W112" s="454">
        <f t="shared" si="72"/>
        <v>0</v>
      </c>
      <c r="Y112" s="435"/>
      <c r="Z112" s="449"/>
      <c r="AA112" s="449"/>
      <c r="AB112" s="449"/>
      <c r="AC112" s="449"/>
      <c r="AD112" s="449"/>
      <c r="AE112" s="449"/>
      <c r="AF112" s="449"/>
      <c r="AG112" s="449"/>
      <c r="AH112" s="449"/>
      <c r="AI112" s="449"/>
      <c r="AJ112" s="449"/>
      <c r="AK112" s="449"/>
    </row>
    <row r="113" spans="1:38" ht="23.15" customHeight="1">
      <c r="A113" s="470" t="s">
        <v>989</v>
      </c>
      <c r="B113" s="451"/>
      <c r="C113" s="451"/>
      <c r="D113" s="451"/>
      <c r="E113" s="451"/>
      <c r="F113" s="451"/>
      <c r="G113" s="451"/>
      <c r="H113" s="451"/>
      <c r="I113" s="452"/>
      <c r="J113" s="451"/>
      <c r="K113" s="451"/>
      <c r="L113" s="451"/>
      <c r="M113" s="451"/>
      <c r="N113" s="451"/>
      <c r="O113" s="451"/>
      <c r="P113" s="451"/>
      <c r="Q113" s="558"/>
      <c r="R113" s="451"/>
      <c r="S113" s="452" t="str">
        <f t="shared" si="71"/>
        <v/>
      </c>
      <c r="T113" s="456"/>
      <c r="V113" s="454"/>
      <c r="W113" s="454">
        <f t="shared" si="72"/>
        <v>0</v>
      </c>
      <c r="Y113" s="435"/>
      <c r="Z113" s="449"/>
      <c r="AA113" s="449"/>
      <c r="AB113" s="449"/>
      <c r="AC113" s="449"/>
      <c r="AD113" s="449"/>
      <c r="AE113" s="449"/>
      <c r="AF113" s="449"/>
      <c r="AG113" s="449"/>
      <c r="AH113" s="449"/>
      <c r="AI113" s="449"/>
      <c r="AJ113" s="449"/>
      <c r="AK113" s="449"/>
    </row>
    <row r="114" spans="1:38" ht="23.15" customHeight="1">
      <c r="A114" s="470" t="s">
        <v>990</v>
      </c>
      <c r="B114" s="451"/>
      <c r="C114" s="451"/>
      <c r="D114" s="451"/>
      <c r="E114" s="451"/>
      <c r="F114" s="451"/>
      <c r="G114" s="451"/>
      <c r="H114" s="451"/>
      <c r="I114" s="452"/>
      <c r="J114" s="451"/>
      <c r="K114" s="451"/>
      <c r="L114" s="451"/>
      <c r="M114" s="451"/>
      <c r="N114" s="451"/>
      <c r="O114" s="451"/>
      <c r="P114" s="451"/>
      <c r="Q114" s="558"/>
      <c r="R114" s="451"/>
      <c r="S114" s="452" t="str">
        <f t="shared" si="71"/>
        <v/>
      </c>
      <c r="T114" s="456"/>
      <c r="V114" s="454"/>
      <c r="W114" s="454">
        <f t="shared" si="72"/>
        <v>0</v>
      </c>
      <c r="Y114" s="435"/>
      <c r="Z114" s="449"/>
      <c r="AA114" s="449"/>
      <c r="AB114" s="449"/>
      <c r="AC114" s="449"/>
      <c r="AD114" s="449"/>
      <c r="AE114" s="449"/>
      <c r="AF114" s="449"/>
      <c r="AG114" s="449"/>
      <c r="AH114" s="449"/>
      <c r="AI114" s="449"/>
      <c r="AJ114" s="449"/>
      <c r="AK114" s="449"/>
    </row>
    <row r="115" spans="1:38" ht="23.15" customHeight="1">
      <c r="A115" s="470" t="s">
        <v>991</v>
      </c>
      <c r="B115" s="451"/>
      <c r="C115" s="451"/>
      <c r="D115" s="451"/>
      <c r="E115" s="451"/>
      <c r="F115" s="451"/>
      <c r="G115" s="451"/>
      <c r="H115" s="451"/>
      <c r="I115" s="452"/>
      <c r="J115" s="451"/>
      <c r="K115" s="451"/>
      <c r="L115" s="451"/>
      <c r="M115" s="451"/>
      <c r="N115" s="451"/>
      <c r="O115" s="451"/>
      <c r="P115" s="451"/>
      <c r="Q115" s="558"/>
      <c r="R115" s="451"/>
      <c r="S115" s="452" t="str">
        <f t="shared" si="71"/>
        <v/>
      </c>
      <c r="T115" s="456"/>
      <c r="V115" s="454"/>
      <c r="W115" s="454">
        <f t="shared" si="72"/>
        <v>0</v>
      </c>
      <c r="Y115" s="435"/>
      <c r="Z115" s="449"/>
      <c r="AA115" s="449"/>
      <c r="AB115" s="449"/>
      <c r="AC115" s="449"/>
      <c r="AD115" s="449"/>
      <c r="AE115" s="449"/>
      <c r="AF115" s="449"/>
      <c r="AG115" s="449"/>
      <c r="AH115" s="449"/>
      <c r="AI115" s="449"/>
      <c r="AJ115" s="449"/>
      <c r="AK115" s="449"/>
    </row>
    <row r="116" spans="1:38" ht="23.15" customHeight="1">
      <c r="A116" s="470" t="s">
        <v>992</v>
      </c>
      <c r="B116" s="451"/>
      <c r="C116" s="451"/>
      <c r="D116" s="451"/>
      <c r="E116" s="451"/>
      <c r="F116" s="451"/>
      <c r="G116" s="451"/>
      <c r="H116" s="451"/>
      <c r="I116" s="452"/>
      <c r="J116" s="451"/>
      <c r="K116" s="451"/>
      <c r="L116" s="451"/>
      <c r="M116" s="451"/>
      <c r="N116" s="451"/>
      <c r="O116" s="451"/>
      <c r="P116" s="451"/>
      <c r="Q116" s="558"/>
      <c r="R116" s="451"/>
      <c r="S116" s="452" t="str">
        <f t="shared" si="71"/>
        <v/>
      </c>
      <c r="T116" s="456"/>
      <c r="V116" s="454"/>
      <c r="W116" s="454">
        <f t="shared" si="72"/>
        <v>0</v>
      </c>
      <c r="Y116" s="435"/>
      <c r="Z116" s="449"/>
      <c r="AA116" s="449"/>
      <c r="AB116" s="449"/>
      <c r="AC116" s="449"/>
      <c r="AD116" s="449"/>
      <c r="AE116" s="449"/>
      <c r="AF116" s="449"/>
      <c r="AG116" s="449"/>
      <c r="AH116" s="449"/>
      <c r="AI116" s="449"/>
      <c r="AJ116" s="449"/>
      <c r="AK116" s="449"/>
    </row>
    <row r="117" spans="1:38" s="466" customFormat="1" ht="31">
      <c r="A117" s="554" t="s">
        <v>979</v>
      </c>
      <c r="B117" s="499">
        <f t="shared" ref="B117:R117" si="73">SUM(B109:B112)</f>
        <v>0</v>
      </c>
      <c r="C117" s="499">
        <f t="shared" si="73"/>
        <v>0</v>
      </c>
      <c r="D117" s="499">
        <f t="shared" si="73"/>
        <v>0</v>
      </c>
      <c r="E117" s="496"/>
      <c r="F117" s="499">
        <f t="shared" si="73"/>
        <v>0</v>
      </c>
      <c r="G117" s="499">
        <f t="shared" si="73"/>
        <v>0</v>
      </c>
      <c r="H117" s="499">
        <f t="shared" si="73"/>
        <v>0</v>
      </c>
      <c r="I117" s="473" t="str">
        <f t="shared" ref="I117" si="74">IFERROR((F117/G117),"")</f>
        <v/>
      </c>
      <c r="J117" s="496"/>
      <c r="K117" s="499">
        <f t="shared" si="73"/>
        <v>0</v>
      </c>
      <c r="L117" s="499">
        <f t="shared" si="73"/>
        <v>0</v>
      </c>
      <c r="M117" s="499">
        <f t="shared" si="73"/>
        <v>0</v>
      </c>
      <c r="N117" s="496"/>
      <c r="O117" s="499">
        <f t="shared" si="73"/>
        <v>0</v>
      </c>
      <c r="P117" s="499">
        <f t="shared" si="73"/>
        <v>0</v>
      </c>
      <c r="Q117" s="564">
        <f t="shared" si="73"/>
        <v>0</v>
      </c>
      <c r="R117" s="499">
        <f t="shared" si="73"/>
        <v>0</v>
      </c>
      <c r="S117" s="474" t="str">
        <f t="shared" si="71"/>
        <v/>
      </c>
      <c r="T117" s="500"/>
      <c r="U117" s="571"/>
      <c r="V117" s="501">
        <f t="shared" ref="V117:W117" si="75">SUM(V109:V112)</f>
        <v>0</v>
      </c>
      <c r="W117" s="501">
        <f t="shared" si="75"/>
        <v>0</v>
      </c>
      <c r="X117" s="427"/>
      <c r="Y117" s="435"/>
      <c r="Z117" s="455"/>
      <c r="AA117" s="455"/>
      <c r="AB117" s="455"/>
      <c r="AC117" s="455"/>
      <c r="AD117" s="455"/>
      <c r="AE117" s="455"/>
      <c r="AF117" s="455"/>
      <c r="AG117" s="455"/>
      <c r="AH117" s="455"/>
      <c r="AI117" s="455"/>
      <c r="AJ117" s="455"/>
      <c r="AK117" s="455"/>
      <c r="AL117" s="427"/>
    </row>
    <row r="118" spans="1:38" ht="15.5">
      <c r="A118" s="508" t="s">
        <v>110</v>
      </c>
      <c r="B118" s="482"/>
      <c r="C118" s="482"/>
      <c r="D118" s="482"/>
      <c r="E118" s="482"/>
      <c r="F118" s="482"/>
      <c r="G118" s="482"/>
      <c r="H118" s="482"/>
      <c r="I118" s="483"/>
      <c r="J118" s="482"/>
      <c r="K118" s="482"/>
      <c r="L118" s="482"/>
      <c r="M118" s="482"/>
      <c r="N118" s="482"/>
      <c r="O118" s="482"/>
      <c r="P118" s="482"/>
      <c r="Q118" s="562"/>
      <c r="R118" s="482"/>
      <c r="S118" s="483"/>
      <c r="T118" s="484"/>
      <c r="V118" s="485"/>
      <c r="W118" s="485"/>
      <c r="Y118" s="435"/>
      <c r="Z118" s="455"/>
      <c r="AA118" s="455"/>
      <c r="AB118" s="455"/>
      <c r="AC118" s="455"/>
      <c r="AD118" s="455"/>
      <c r="AE118" s="455"/>
      <c r="AF118" s="455"/>
      <c r="AG118" s="455"/>
      <c r="AH118" s="455"/>
      <c r="AI118" s="455"/>
      <c r="AJ118" s="455"/>
      <c r="AK118" s="455"/>
    </row>
    <row r="119" spans="1:38">
      <c r="A119" s="470" t="s">
        <v>980</v>
      </c>
      <c r="B119" s="451"/>
      <c r="C119" s="451"/>
      <c r="D119" s="451"/>
      <c r="E119" s="451"/>
      <c r="F119" s="451"/>
      <c r="G119" s="451"/>
      <c r="H119" s="451"/>
      <c r="I119" s="452"/>
      <c r="J119" s="451"/>
      <c r="K119" s="451"/>
      <c r="L119" s="451"/>
      <c r="M119" s="451"/>
      <c r="N119" s="451"/>
      <c r="O119" s="451"/>
      <c r="P119" s="451"/>
      <c r="Q119" s="558"/>
      <c r="R119" s="451"/>
      <c r="S119" s="452"/>
      <c r="T119" s="456"/>
      <c r="V119" s="454"/>
      <c r="W119" s="454">
        <f t="shared" ref="W119:W121" si="76">+Q119-V119</f>
        <v>0</v>
      </c>
      <c r="Y119" s="435"/>
      <c r="Z119" s="455"/>
      <c r="AA119" s="455"/>
      <c r="AB119" s="455"/>
      <c r="AC119" s="455"/>
      <c r="AD119" s="455"/>
      <c r="AE119" s="455"/>
      <c r="AF119" s="455"/>
      <c r="AG119" s="455"/>
      <c r="AH119" s="455"/>
      <c r="AI119" s="455"/>
      <c r="AJ119" s="455"/>
      <c r="AK119" s="455"/>
    </row>
    <row r="120" spans="1:38">
      <c r="A120" s="470" t="s">
        <v>981</v>
      </c>
      <c r="B120" s="451"/>
      <c r="C120" s="451"/>
      <c r="D120" s="451"/>
      <c r="E120" s="451"/>
      <c r="F120" s="451"/>
      <c r="G120" s="451"/>
      <c r="H120" s="451"/>
      <c r="I120" s="452"/>
      <c r="J120" s="451"/>
      <c r="K120" s="451"/>
      <c r="L120" s="451"/>
      <c r="M120" s="451"/>
      <c r="N120" s="451"/>
      <c r="O120" s="451"/>
      <c r="P120" s="451"/>
      <c r="Q120" s="558"/>
      <c r="R120" s="451"/>
      <c r="S120" s="452"/>
      <c r="T120" s="456"/>
      <c r="V120" s="454"/>
      <c r="W120" s="454">
        <f t="shared" si="76"/>
        <v>0</v>
      </c>
      <c r="Y120" s="435"/>
      <c r="Z120" s="455"/>
      <c r="AA120" s="455"/>
      <c r="AB120" s="455"/>
      <c r="AC120" s="455"/>
      <c r="AD120" s="455"/>
      <c r="AE120" s="455"/>
      <c r="AF120" s="455"/>
      <c r="AG120" s="455"/>
      <c r="AH120" s="455"/>
      <c r="AI120" s="455"/>
      <c r="AJ120" s="455"/>
      <c r="AK120" s="455"/>
    </row>
    <row r="121" spans="1:38">
      <c r="A121" s="470" t="s">
        <v>982</v>
      </c>
      <c r="B121" s="451"/>
      <c r="C121" s="451"/>
      <c r="D121" s="451"/>
      <c r="E121" s="451"/>
      <c r="F121" s="451"/>
      <c r="G121" s="451"/>
      <c r="H121" s="451"/>
      <c r="I121" s="452"/>
      <c r="J121" s="451"/>
      <c r="K121" s="451"/>
      <c r="L121" s="451"/>
      <c r="M121" s="451"/>
      <c r="N121" s="451"/>
      <c r="O121" s="451"/>
      <c r="P121" s="451"/>
      <c r="Q121" s="558"/>
      <c r="R121" s="451"/>
      <c r="S121" s="452"/>
      <c r="T121" s="456"/>
      <c r="V121" s="454"/>
      <c r="W121" s="454">
        <f t="shared" si="76"/>
        <v>0</v>
      </c>
      <c r="Y121" s="435"/>
      <c r="Z121" s="455"/>
      <c r="AA121" s="455"/>
      <c r="AB121" s="455"/>
      <c r="AC121" s="455"/>
      <c r="AD121" s="455"/>
      <c r="AE121" s="455"/>
      <c r="AF121" s="455"/>
      <c r="AG121" s="455"/>
      <c r="AH121" s="455"/>
      <c r="AI121" s="455"/>
      <c r="AJ121" s="455"/>
      <c r="AK121" s="455"/>
    </row>
    <row r="122" spans="1:38" s="466" customFormat="1" ht="15.5">
      <c r="A122" s="554" t="s">
        <v>983</v>
      </c>
      <c r="B122" s="499">
        <f t="shared" ref="B122:R122" si="77">SUM(B119:B121)</f>
        <v>0</v>
      </c>
      <c r="C122" s="499">
        <f t="shared" si="77"/>
        <v>0</v>
      </c>
      <c r="D122" s="499">
        <f t="shared" si="77"/>
        <v>0</v>
      </c>
      <c r="E122" s="496"/>
      <c r="F122" s="499">
        <f t="shared" si="77"/>
        <v>0</v>
      </c>
      <c r="G122" s="499">
        <f t="shared" si="77"/>
        <v>0</v>
      </c>
      <c r="H122" s="499">
        <f t="shared" si="77"/>
        <v>0</v>
      </c>
      <c r="I122" s="473" t="str">
        <f t="shared" ref="I122" si="78">IFERROR((F122/G122),"")</f>
        <v/>
      </c>
      <c r="J122" s="496"/>
      <c r="K122" s="499">
        <f t="shared" si="77"/>
        <v>0</v>
      </c>
      <c r="L122" s="499">
        <f t="shared" si="77"/>
        <v>0</v>
      </c>
      <c r="M122" s="499">
        <f t="shared" si="77"/>
        <v>0</v>
      </c>
      <c r="N122" s="496"/>
      <c r="O122" s="499">
        <f t="shared" si="77"/>
        <v>0</v>
      </c>
      <c r="P122" s="499">
        <f t="shared" si="77"/>
        <v>0</v>
      </c>
      <c r="Q122" s="564">
        <f t="shared" si="77"/>
        <v>0</v>
      </c>
      <c r="R122" s="499">
        <f t="shared" si="77"/>
        <v>0</v>
      </c>
      <c r="S122" s="474" t="str">
        <f t="shared" ref="S122" si="79">IFERROR((R122/L122),"")</f>
        <v/>
      </c>
      <c r="T122" s="500"/>
      <c r="U122" s="571"/>
      <c r="V122" s="501">
        <f t="shared" ref="V122:W122" si="80">SUM(V119:V121)</f>
        <v>0</v>
      </c>
      <c r="W122" s="501">
        <f t="shared" si="80"/>
        <v>0</v>
      </c>
      <c r="X122" s="427"/>
      <c r="Y122" s="435"/>
      <c r="Z122" s="455"/>
      <c r="AA122" s="455"/>
      <c r="AB122" s="455"/>
      <c r="AC122" s="455"/>
      <c r="AD122" s="455"/>
      <c r="AE122" s="455"/>
      <c r="AF122" s="455"/>
      <c r="AG122" s="455"/>
      <c r="AH122" s="455"/>
      <c r="AI122" s="455"/>
      <c r="AJ122" s="455"/>
      <c r="AK122" s="455"/>
      <c r="AL122" s="427"/>
    </row>
    <row r="123" spans="1:38" ht="15.5">
      <c r="A123" s="508" t="s">
        <v>962</v>
      </c>
      <c r="B123" s="482"/>
      <c r="C123" s="482"/>
      <c r="D123" s="482"/>
      <c r="E123" s="482"/>
      <c r="F123" s="482"/>
      <c r="G123" s="482"/>
      <c r="H123" s="482"/>
      <c r="I123" s="483"/>
      <c r="J123" s="482"/>
      <c r="K123" s="482"/>
      <c r="L123" s="482"/>
      <c r="M123" s="482"/>
      <c r="N123" s="482"/>
      <c r="O123" s="482"/>
      <c r="P123" s="482"/>
      <c r="Q123" s="562"/>
      <c r="R123" s="482"/>
      <c r="S123" s="483"/>
      <c r="T123" s="484"/>
      <c r="V123" s="485"/>
      <c r="W123" s="485"/>
      <c r="Y123" s="435"/>
      <c r="Z123" s="455"/>
      <c r="AA123" s="455"/>
      <c r="AB123" s="455"/>
      <c r="AC123" s="455"/>
      <c r="AD123" s="455"/>
      <c r="AE123" s="455"/>
      <c r="AF123" s="455"/>
      <c r="AG123" s="455"/>
      <c r="AH123" s="455"/>
      <c r="AI123" s="455"/>
      <c r="AJ123" s="455"/>
      <c r="AK123" s="455"/>
    </row>
    <row r="124" spans="1:38" ht="22.5" customHeight="1">
      <c r="A124" s="470" t="s">
        <v>984</v>
      </c>
      <c r="B124" s="451"/>
      <c r="C124" s="451"/>
      <c r="D124" s="451"/>
      <c r="E124" s="451"/>
      <c r="F124" s="451"/>
      <c r="G124" s="451"/>
      <c r="H124" s="451"/>
      <c r="I124" s="452"/>
      <c r="J124" s="451"/>
      <c r="K124" s="451"/>
      <c r="L124" s="451"/>
      <c r="M124" s="451"/>
      <c r="N124" s="451"/>
      <c r="O124" s="451"/>
      <c r="P124" s="451"/>
      <c r="Q124" s="558"/>
      <c r="R124" s="451"/>
      <c r="S124" s="452"/>
      <c r="T124" s="456"/>
      <c r="V124" s="454"/>
      <c r="W124" s="454">
        <f t="shared" ref="W124:W125" si="81">+Q124-V124</f>
        <v>0</v>
      </c>
      <c r="Y124" s="435"/>
      <c r="Z124" s="455"/>
      <c r="AA124" s="455"/>
      <c r="AB124" s="455"/>
      <c r="AC124" s="455"/>
      <c r="AD124" s="455"/>
      <c r="AE124" s="455"/>
      <c r="AF124" s="455"/>
      <c r="AG124" s="455"/>
      <c r="AH124" s="455"/>
      <c r="AI124" s="455"/>
      <c r="AJ124" s="455"/>
      <c r="AK124" s="455"/>
    </row>
    <row r="125" spans="1:38" ht="13">
      <c r="A125" s="470" t="s">
        <v>985</v>
      </c>
      <c r="B125" s="451"/>
      <c r="C125" s="451"/>
      <c r="D125" s="451"/>
      <c r="E125" s="451"/>
      <c r="F125" s="451"/>
      <c r="G125" s="451"/>
      <c r="H125" s="451"/>
      <c r="I125" s="452"/>
      <c r="J125" s="451"/>
      <c r="K125" s="451"/>
      <c r="L125" s="451"/>
      <c r="M125" s="451"/>
      <c r="N125" s="451"/>
      <c r="O125" s="451"/>
      <c r="P125" s="451"/>
      <c r="Q125" s="558"/>
      <c r="R125" s="451"/>
      <c r="S125" s="452"/>
      <c r="T125" s="456"/>
      <c r="V125" s="454"/>
      <c r="W125" s="454">
        <f t="shared" si="81"/>
        <v>0</v>
      </c>
      <c r="Y125" s="435"/>
      <c r="Z125" s="510"/>
      <c r="AA125" s="510"/>
      <c r="AB125" s="510"/>
      <c r="AC125" s="510"/>
      <c r="AD125" s="510"/>
      <c r="AE125" s="510"/>
      <c r="AF125" s="510"/>
      <c r="AG125" s="510"/>
      <c r="AH125" s="510"/>
      <c r="AI125" s="510"/>
      <c r="AJ125" s="510"/>
      <c r="AK125" s="510"/>
      <c r="AL125" s="465"/>
    </row>
    <row r="126" spans="1:38" ht="31">
      <c r="A126" s="512" t="s">
        <v>986</v>
      </c>
      <c r="B126" s="513">
        <f>-SUM(B117,B122,B124:B125)</f>
        <v>0</v>
      </c>
      <c r="C126" s="513">
        <f t="shared" ref="C126:D126" si="82">-SUM(C117,C122,C124:C125)</f>
        <v>0</v>
      </c>
      <c r="D126" s="513">
        <f t="shared" si="82"/>
        <v>0</v>
      </c>
      <c r="E126" s="514"/>
      <c r="F126" s="513">
        <f t="shared" ref="F126:H126" si="83">-SUM(F117,F122,F124:F125)</f>
        <v>0</v>
      </c>
      <c r="G126" s="513">
        <f t="shared" si="83"/>
        <v>0</v>
      </c>
      <c r="H126" s="513">
        <f t="shared" si="83"/>
        <v>0</v>
      </c>
      <c r="I126" s="515" t="str">
        <f t="shared" ref="I126" si="84">IFERROR((F126/G126),"")</f>
        <v/>
      </c>
      <c r="J126" s="514"/>
      <c r="K126" s="513">
        <f t="shared" ref="K126:M126" si="85">-SUM(K117,K122,K124:K125)</f>
        <v>0</v>
      </c>
      <c r="L126" s="513">
        <f t="shared" si="85"/>
        <v>0</v>
      </c>
      <c r="M126" s="513">
        <f t="shared" si="85"/>
        <v>0</v>
      </c>
      <c r="N126" s="514"/>
      <c r="O126" s="513">
        <f t="shared" ref="O126:R126" si="86">-SUM(O117,O122,O124:O125)</f>
        <v>0</v>
      </c>
      <c r="P126" s="513">
        <f t="shared" si="86"/>
        <v>0</v>
      </c>
      <c r="Q126" s="566">
        <f t="shared" si="86"/>
        <v>0</v>
      </c>
      <c r="R126" s="513">
        <f t="shared" si="86"/>
        <v>0</v>
      </c>
      <c r="S126" s="516" t="str">
        <f t="shared" ref="S126" si="87">IFERROR((R126/L126),"")</f>
        <v/>
      </c>
      <c r="T126" s="517"/>
      <c r="V126" s="518">
        <f t="shared" ref="V126:W126" si="88">-SUM(V117,V122,V124:V125)</f>
        <v>0</v>
      </c>
      <c r="W126" s="518">
        <f t="shared" si="88"/>
        <v>0</v>
      </c>
      <c r="Y126" s="435"/>
      <c r="Z126" s="492"/>
      <c r="AA126" s="492"/>
      <c r="AB126" s="492"/>
      <c r="AC126" s="492"/>
      <c r="AD126" s="492"/>
      <c r="AE126" s="492"/>
      <c r="AF126" s="492"/>
      <c r="AG126" s="492"/>
      <c r="AH126" s="492"/>
      <c r="AI126" s="492"/>
      <c r="AJ126" s="492"/>
      <c r="AK126" s="492"/>
    </row>
    <row r="127" spans="1:38">
      <c r="Y127" s="435"/>
      <c r="Z127" s="455"/>
      <c r="AA127" s="455"/>
      <c r="AB127" s="455"/>
      <c r="AC127" s="455"/>
      <c r="AD127" s="455"/>
      <c r="AE127" s="455"/>
      <c r="AF127" s="455"/>
      <c r="AG127" s="455"/>
      <c r="AH127" s="455"/>
      <c r="AI127" s="455"/>
      <c r="AJ127" s="455"/>
      <c r="AK127" s="455"/>
    </row>
    <row r="128" spans="1:38">
      <c r="I128" s="555"/>
      <c r="Q128" s="570"/>
      <c r="Y128" s="435"/>
      <c r="Z128" s="455"/>
      <c r="AA128" s="455"/>
      <c r="AB128" s="455"/>
      <c r="AC128" s="455"/>
      <c r="AD128" s="455"/>
      <c r="AE128" s="455"/>
      <c r="AF128" s="455"/>
      <c r="AG128" s="455"/>
      <c r="AH128" s="455"/>
      <c r="AI128" s="455"/>
      <c r="AJ128" s="455"/>
      <c r="AK128" s="455"/>
    </row>
    <row r="129" spans="25:38">
      <c r="Y129" s="435"/>
      <c r="Z129" s="455"/>
      <c r="AA129" s="455"/>
      <c r="AB129" s="455"/>
      <c r="AC129" s="455"/>
      <c r="AD129" s="455"/>
      <c r="AE129" s="455"/>
      <c r="AF129" s="455"/>
      <c r="AG129" s="455"/>
      <c r="AH129" s="455"/>
      <c r="AI129" s="455"/>
      <c r="AJ129" s="455"/>
      <c r="AK129" s="455"/>
    </row>
    <row r="130" spans="25:38" ht="13">
      <c r="Y130" s="435"/>
      <c r="Z130" s="510"/>
      <c r="AA130" s="510"/>
      <c r="AB130" s="510"/>
      <c r="AC130" s="510"/>
      <c r="AD130" s="510"/>
      <c r="AE130" s="510"/>
      <c r="AF130" s="510"/>
      <c r="AG130" s="510"/>
      <c r="AH130" s="510"/>
      <c r="AI130" s="510"/>
      <c r="AJ130" s="510"/>
      <c r="AK130" s="510"/>
      <c r="AL130" s="465"/>
    </row>
    <row r="131" spans="25:38">
      <c r="Y131" s="435"/>
      <c r="Z131" s="492"/>
      <c r="AA131" s="492"/>
      <c r="AB131" s="492"/>
      <c r="AC131" s="492"/>
      <c r="AD131" s="492"/>
      <c r="AE131" s="492"/>
      <c r="AF131" s="492"/>
      <c r="AG131" s="492"/>
      <c r="AH131" s="492"/>
      <c r="AI131" s="492"/>
      <c r="AJ131" s="492"/>
      <c r="AK131" s="492"/>
    </row>
    <row r="132" spans="25:38">
      <c r="Y132" s="435"/>
      <c r="Z132" s="455"/>
      <c r="AA132" s="455"/>
      <c r="AB132" s="455"/>
      <c r="AC132" s="455"/>
      <c r="AD132" s="455"/>
      <c r="AE132" s="455"/>
      <c r="AF132" s="455"/>
      <c r="AG132" s="455"/>
      <c r="AH132" s="455"/>
      <c r="AI132" s="455"/>
      <c r="AJ132" s="455"/>
      <c r="AK132" s="455"/>
    </row>
    <row r="133" spans="25:38">
      <c r="Y133" s="435"/>
      <c r="Z133" s="455"/>
      <c r="AA133" s="455"/>
      <c r="AB133" s="455"/>
      <c r="AC133" s="455"/>
      <c r="AD133" s="455"/>
      <c r="AE133" s="455"/>
      <c r="AF133" s="455"/>
      <c r="AG133" s="455"/>
      <c r="AH133" s="455"/>
      <c r="AI133" s="455"/>
      <c r="AJ133" s="455"/>
      <c r="AK133" s="455"/>
    </row>
    <row r="134" spans="25:38">
      <c r="Y134" s="435"/>
      <c r="Z134" s="544"/>
      <c r="AA134" s="544"/>
      <c r="AB134" s="544"/>
      <c r="AC134" s="544"/>
      <c r="AD134" s="544"/>
      <c r="AE134" s="544"/>
      <c r="AF134" s="544"/>
      <c r="AG134" s="544"/>
      <c r="AH134" s="544"/>
      <c r="AI134" s="544"/>
      <c r="AJ134" s="544"/>
      <c r="AK134" s="544"/>
    </row>
    <row r="135" spans="25:38">
      <c r="Y135" s="435"/>
    </row>
    <row r="136" spans="25:38">
      <c r="Y136" s="435"/>
    </row>
    <row r="137" spans="25:38">
      <c r="Y137" s="435"/>
    </row>
    <row r="138" spans="25:38">
      <c r="Y138" s="435"/>
    </row>
    <row r="139" spans="25:38">
      <c r="Y139" s="435"/>
    </row>
    <row r="140" spans="25:38">
      <c r="Y140" s="435"/>
    </row>
    <row r="141" spans="25:38">
      <c r="Y141" s="435"/>
    </row>
    <row r="142" spans="25:38">
      <c r="Y142" s="435"/>
    </row>
    <row r="143" spans="25:38">
      <c r="Y143" s="435"/>
    </row>
    <row r="144" spans="25:38">
      <c r="Y144" s="435"/>
    </row>
    <row r="145" spans="25:25">
      <c r="Y145" s="435"/>
    </row>
  </sheetData>
  <mergeCells count="17">
    <mergeCell ref="B3:H3"/>
    <mergeCell ref="Z4:AK4"/>
    <mergeCell ref="B5:D5"/>
    <mergeCell ref="F5:I5"/>
    <mergeCell ref="K5:M5"/>
    <mergeCell ref="O5:T5"/>
    <mergeCell ref="V5:W5"/>
    <mergeCell ref="B106:D106"/>
    <mergeCell ref="F106:I106"/>
    <mergeCell ref="K106:M106"/>
    <mergeCell ref="O106:T106"/>
    <mergeCell ref="V106:W106"/>
    <mergeCell ref="B67:D67"/>
    <mergeCell ref="F67:I67"/>
    <mergeCell ref="K67:M67"/>
    <mergeCell ref="O67:T67"/>
    <mergeCell ref="V67:W67"/>
  </mergeCells>
  <dataValidations count="1">
    <dataValidation type="list" allowBlank="1" showInputMessage="1" showErrorMessage="1" sqref="G131061:H131061 G196597:H196597 G262133:H262133 G327669:H327669 G393205:H393205 G458741:H458741 G524277:H524277 G589813:H589813 G655349:H655349 G720885:H720885 G786421:H786421 G851957:H851957 G917493:H917493 G983029:H983029 G65525:H65525" xr:uid="{6D633AC7-49DB-433E-98E4-DED68FB7343E}">
      <formula1>School</formula1>
    </dataValidation>
  </dataValidations>
  <pageMargins left="0.19685039370078741" right="0.19685039370078741" top="0.39370078740157483" bottom="0.39370078740157483" header="0" footer="0"/>
  <pageSetup paperSize="9" scale="65" fitToHeight="0" orientation="landscape" r:id="rId1"/>
  <headerFooter alignWithMargins="0">
    <oddFooter>&amp;C_x000D_&amp;1#&amp;"Calibri"&amp;10&amp;K000000 OFFICIAL</oddFooter>
  </headerFooter>
  <rowBreaks count="1" manualBreakCount="1">
    <brk id="105" max="22"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DQ7"/>
  <sheetViews>
    <sheetView workbookViewId="0">
      <selection activeCell="O12" sqref="O12"/>
    </sheetView>
  </sheetViews>
  <sheetFormatPr defaultRowHeight="14.5"/>
  <sheetData>
    <row r="1" spans="1:121" s="129" customFormat="1" ht="15.5">
      <c r="A1" s="127" t="str">
        <f>Outturn!A1</f>
        <v>Birmingham Financial Monitoring Return 2025/26</v>
      </c>
      <c r="B1" s="128"/>
      <c r="H1" s="129" t="str">
        <f>YTD!H1</f>
        <v xml:space="preserve"> Quarter 1 2025-26</v>
      </c>
    </row>
    <row r="2" spans="1:121" s="129" customFormat="1" ht="15.5">
      <c r="A2" s="127" t="str">
        <f>Outturn!A2</f>
        <v xml:space="preserve">LA Data Sheet - 2025-26 </v>
      </c>
      <c r="B2" s="128"/>
      <c r="C2" s="127" t="s">
        <v>749</v>
      </c>
    </row>
    <row r="3" spans="1:121" s="129" customFormat="1" ht="15.5">
      <c r="A3" s="150"/>
      <c r="B3" s="150"/>
    </row>
    <row r="4" spans="1:121" s="135" customFormat="1" ht="12.75" customHeight="1">
      <c r="A4" s="708" t="s">
        <v>218</v>
      </c>
      <c r="B4" s="709"/>
      <c r="C4" s="709"/>
      <c r="D4" s="709"/>
      <c r="E4" s="709"/>
      <c r="F4" s="710"/>
      <c r="G4" s="711" t="s">
        <v>219</v>
      </c>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3"/>
      <c r="BJ4" s="714" t="s">
        <v>220</v>
      </c>
      <c r="BK4" s="715"/>
      <c r="BL4" s="715"/>
      <c r="BM4" s="715"/>
      <c r="BN4" s="715"/>
      <c r="BO4" s="715"/>
      <c r="BP4" s="715"/>
      <c r="BQ4" s="715"/>
      <c r="BR4" s="715"/>
      <c r="BS4" s="715"/>
      <c r="BT4" s="715"/>
      <c r="BU4" s="716"/>
      <c r="BV4" s="717" t="s">
        <v>221</v>
      </c>
      <c r="BW4" s="718"/>
      <c r="BX4" s="718"/>
      <c r="BY4" s="718"/>
      <c r="BZ4" s="718"/>
      <c r="CA4" s="718"/>
      <c r="CB4" s="718"/>
      <c r="CC4" s="718"/>
      <c r="CD4" s="719"/>
      <c r="CE4" s="720" t="s">
        <v>222</v>
      </c>
      <c r="CF4" s="720"/>
      <c r="CG4" s="720"/>
      <c r="CH4" s="720"/>
      <c r="CI4" s="720"/>
      <c r="CJ4" s="720"/>
      <c r="CK4" s="721" t="s">
        <v>223</v>
      </c>
      <c r="CL4" s="722"/>
      <c r="CM4" s="722"/>
      <c r="CN4" s="722"/>
      <c r="CO4" s="722"/>
      <c r="CP4" s="722"/>
      <c r="CQ4" s="722"/>
      <c r="CR4" s="722"/>
      <c r="CS4" s="723"/>
      <c r="CT4" s="702" t="s">
        <v>224</v>
      </c>
      <c r="CU4" s="703"/>
      <c r="CV4" s="703"/>
      <c r="CW4" s="703"/>
      <c r="CX4" s="703"/>
      <c r="CY4" s="703"/>
      <c r="CZ4" s="703"/>
      <c r="DA4" s="703"/>
      <c r="DB4" s="704"/>
      <c r="DC4" s="705" t="s">
        <v>225</v>
      </c>
      <c r="DD4" s="705"/>
      <c r="DE4" s="705"/>
      <c r="DF4" s="705"/>
      <c r="DG4" s="705"/>
      <c r="DH4" s="705"/>
      <c r="DI4" s="705"/>
      <c r="DJ4" s="705"/>
      <c r="DK4" s="705"/>
      <c r="DL4" s="706" t="s">
        <v>226</v>
      </c>
      <c r="DM4" s="706"/>
      <c r="DN4" s="707" t="s">
        <v>227</v>
      </c>
      <c r="DO4" s="707"/>
      <c r="DP4" s="134"/>
    </row>
    <row r="5" spans="1:121" s="146" customFormat="1" ht="15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278</v>
      </c>
      <c r="W5" s="137" t="s">
        <v>279</v>
      </c>
      <c r="X5" s="137" t="s">
        <v>280</v>
      </c>
      <c r="Y5" s="137" t="s">
        <v>281</v>
      </c>
      <c r="Z5" s="137" t="s">
        <v>238</v>
      </c>
      <c r="AA5" s="137" t="s">
        <v>46</v>
      </c>
      <c r="AB5" s="137" t="s">
        <v>239</v>
      </c>
      <c r="AC5" s="137" t="s">
        <v>50</v>
      </c>
      <c r="AD5" s="137" t="s">
        <v>52</v>
      </c>
      <c r="AE5" s="137" t="s">
        <v>54</v>
      </c>
      <c r="AF5" s="137" t="s">
        <v>56</v>
      </c>
      <c r="AG5" s="137" t="s">
        <v>58</v>
      </c>
      <c r="AH5" s="137" t="s">
        <v>60</v>
      </c>
      <c r="AI5" s="137" t="s">
        <v>240</v>
      </c>
      <c r="AJ5" s="137" t="s">
        <v>64</v>
      </c>
      <c r="AK5" s="137" t="s">
        <v>66</v>
      </c>
      <c r="AL5" s="137" t="s">
        <v>68</v>
      </c>
      <c r="AM5" s="137" t="s">
        <v>70</v>
      </c>
      <c r="AN5" s="137" t="s">
        <v>72</v>
      </c>
      <c r="AO5" s="137" t="s">
        <v>74</v>
      </c>
      <c r="AP5" s="137" t="s">
        <v>76</v>
      </c>
      <c r="AQ5" s="137" t="s">
        <v>78</v>
      </c>
      <c r="AR5" s="137" t="s">
        <v>80</v>
      </c>
      <c r="AS5" s="137" t="s">
        <v>241</v>
      </c>
      <c r="AT5" s="137" t="s">
        <v>84</v>
      </c>
      <c r="AU5" s="137" t="s">
        <v>242</v>
      </c>
      <c r="AV5" s="137" t="s">
        <v>88</v>
      </c>
      <c r="AW5" s="137" t="s">
        <v>90</v>
      </c>
      <c r="AX5" s="137" t="s">
        <v>92</v>
      </c>
      <c r="AY5" s="137" t="s">
        <v>94</v>
      </c>
      <c r="AZ5" s="137" t="s">
        <v>96</v>
      </c>
      <c r="BA5" s="137" t="s">
        <v>98</v>
      </c>
      <c r="BB5" s="137" t="s">
        <v>286</v>
      </c>
      <c r="BC5" s="137" t="s">
        <v>287</v>
      </c>
      <c r="BD5" s="137" t="s">
        <v>100</v>
      </c>
      <c r="BE5" s="137" t="s">
        <v>102</v>
      </c>
      <c r="BF5" s="137" t="s">
        <v>243</v>
      </c>
      <c r="BG5" s="137" t="s">
        <v>244</v>
      </c>
      <c r="BH5" s="137" t="s">
        <v>245</v>
      </c>
      <c r="BI5" s="137" t="s">
        <v>246</v>
      </c>
      <c r="BJ5" s="138" t="s">
        <v>247</v>
      </c>
      <c r="BK5" s="138" t="s">
        <v>112</v>
      </c>
      <c r="BL5" s="138" t="s">
        <v>114</v>
      </c>
      <c r="BM5" s="138" t="s">
        <v>248</v>
      </c>
      <c r="BN5" s="138" t="s">
        <v>118</v>
      </c>
      <c r="BO5" s="138" t="s">
        <v>249</v>
      </c>
      <c r="BP5" s="138" t="s">
        <v>122</v>
      </c>
      <c r="BQ5" s="138" t="s">
        <v>124</v>
      </c>
      <c r="BR5" s="138" t="s">
        <v>250</v>
      </c>
      <c r="BS5" s="138" t="s">
        <v>251</v>
      </c>
      <c r="BT5" s="138" t="s">
        <v>252</v>
      </c>
      <c r="BU5" s="138" t="s">
        <v>253</v>
      </c>
      <c r="BV5" s="139" t="s">
        <v>254</v>
      </c>
      <c r="BW5" s="139" t="s">
        <v>134</v>
      </c>
      <c r="BX5" s="139" t="s">
        <v>255</v>
      </c>
      <c r="BY5" s="139" t="s">
        <v>138</v>
      </c>
      <c r="BZ5" s="139" t="s">
        <v>140</v>
      </c>
      <c r="CA5" s="139" t="s">
        <v>256</v>
      </c>
      <c r="CB5" s="139" t="s">
        <v>257</v>
      </c>
      <c r="CC5" s="139" t="s">
        <v>258</v>
      </c>
      <c r="CD5" s="139" t="s">
        <v>259</v>
      </c>
      <c r="CE5" s="130" t="s">
        <v>147</v>
      </c>
      <c r="CF5" s="130" t="s">
        <v>149</v>
      </c>
      <c r="CG5" s="130" t="s">
        <v>260</v>
      </c>
      <c r="CH5" s="130" t="s">
        <v>153</v>
      </c>
      <c r="CI5" s="130" t="s">
        <v>155</v>
      </c>
      <c r="CJ5" s="130" t="s">
        <v>261</v>
      </c>
      <c r="CK5" s="140" t="s">
        <v>262</v>
      </c>
      <c r="CL5" s="140" t="s">
        <v>263</v>
      </c>
      <c r="CM5" s="140" t="s">
        <v>264</v>
      </c>
      <c r="CN5" s="140" t="s">
        <v>165</v>
      </c>
      <c r="CO5" s="140" t="s">
        <v>166</v>
      </c>
      <c r="CP5" s="140" t="s">
        <v>289</v>
      </c>
      <c r="CQ5" s="140" t="s">
        <v>265</v>
      </c>
      <c r="CR5" s="140" t="s">
        <v>167</v>
      </c>
      <c r="CS5" s="140" t="s">
        <v>266</v>
      </c>
      <c r="CT5" s="141" t="s">
        <v>262</v>
      </c>
      <c r="CU5" s="141" t="s">
        <v>263</v>
      </c>
      <c r="CV5" s="141" t="s">
        <v>264</v>
      </c>
      <c r="CW5" s="141" t="s">
        <v>165</v>
      </c>
      <c r="CX5" s="141" t="s">
        <v>166</v>
      </c>
      <c r="CY5" s="141" t="s">
        <v>289</v>
      </c>
      <c r="CZ5" s="141" t="s">
        <v>265</v>
      </c>
      <c r="DA5" s="141" t="s">
        <v>167</v>
      </c>
      <c r="DB5" s="141" t="s">
        <v>266</v>
      </c>
      <c r="DC5" s="131" t="s">
        <v>170</v>
      </c>
      <c r="DD5" s="131" t="s">
        <v>172</v>
      </c>
      <c r="DE5" s="131" t="s">
        <v>173</v>
      </c>
      <c r="DF5" s="131" t="s">
        <v>174</v>
      </c>
      <c r="DG5" s="131" t="s">
        <v>175</v>
      </c>
      <c r="DH5" s="131" t="s">
        <v>177</v>
      </c>
      <c r="DI5" s="131" t="s">
        <v>178</v>
      </c>
      <c r="DJ5" s="131" t="s">
        <v>179</v>
      </c>
      <c r="DK5" s="131" t="s">
        <v>267</v>
      </c>
      <c r="DL5" s="142" t="s">
        <v>170</v>
      </c>
      <c r="DM5" s="142" t="s">
        <v>172</v>
      </c>
      <c r="DN5" s="143" t="s">
        <v>175</v>
      </c>
      <c r="DO5" s="143" t="s">
        <v>177</v>
      </c>
      <c r="DP5" s="144" t="s">
        <v>268</v>
      </c>
      <c r="DQ5" s="145" t="s">
        <v>269</v>
      </c>
    </row>
    <row r="6" spans="1:121" s="135" customFormat="1" ht="15.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274</v>
      </c>
      <c r="W6" s="152" t="s">
        <v>275</v>
      </c>
      <c r="X6" s="152" t="s">
        <v>276</v>
      </c>
      <c r="Y6" s="152" t="s">
        <v>277</v>
      </c>
      <c r="Z6" s="153"/>
      <c r="AA6" s="152" t="s">
        <v>45</v>
      </c>
      <c r="AB6" s="152" t="s">
        <v>47</v>
      </c>
      <c r="AC6" s="152" t="s">
        <v>49</v>
      </c>
      <c r="AD6" s="152" t="s">
        <v>51</v>
      </c>
      <c r="AE6" s="152" t="s">
        <v>53</v>
      </c>
      <c r="AF6" s="152" t="s">
        <v>55</v>
      </c>
      <c r="AG6" s="152" t="s">
        <v>57</v>
      </c>
      <c r="AH6" s="152" t="s">
        <v>59</v>
      </c>
      <c r="AI6" s="152" t="s">
        <v>61</v>
      </c>
      <c r="AJ6" s="152" t="s">
        <v>63</v>
      </c>
      <c r="AK6" s="152" t="s">
        <v>65</v>
      </c>
      <c r="AL6" s="152" t="s">
        <v>67</v>
      </c>
      <c r="AM6" s="152" t="s">
        <v>69</v>
      </c>
      <c r="AN6" s="152" t="s">
        <v>71</v>
      </c>
      <c r="AO6" s="152" t="s">
        <v>73</v>
      </c>
      <c r="AP6" s="152" t="s">
        <v>75</v>
      </c>
      <c r="AQ6" s="152" t="s">
        <v>77</v>
      </c>
      <c r="AR6" s="152" t="s">
        <v>79</v>
      </c>
      <c r="AS6" s="152" t="s">
        <v>81</v>
      </c>
      <c r="AT6" s="152" t="s">
        <v>83</v>
      </c>
      <c r="AU6" s="152" t="s">
        <v>85</v>
      </c>
      <c r="AV6" s="152" t="s">
        <v>87</v>
      </c>
      <c r="AW6" s="152" t="s">
        <v>89</v>
      </c>
      <c r="AX6" s="152" t="s">
        <v>91</v>
      </c>
      <c r="AY6" s="152" t="s">
        <v>93</v>
      </c>
      <c r="AZ6" s="152" t="s">
        <v>95</v>
      </c>
      <c r="BA6" s="152" t="s">
        <v>97</v>
      </c>
      <c r="BB6" s="152" t="s">
        <v>282</v>
      </c>
      <c r="BC6" s="152" t="s">
        <v>283</v>
      </c>
      <c r="BD6" s="152" t="s">
        <v>99</v>
      </c>
      <c r="BE6" s="152" t="s">
        <v>101</v>
      </c>
      <c r="BF6" s="152"/>
      <c r="BG6" s="152"/>
      <c r="BH6" s="152"/>
      <c r="BI6" s="152"/>
      <c r="BJ6" s="154" t="s">
        <v>109</v>
      </c>
      <c r="BK6" s="154" t="s">
        <v>111</v>
      </c>
      <c r="BL6" s="154" t="s">
        <v>113</v>
      </c>
      <c r="BM6" s="154"/>
      <c r="BN6" s="154" t="s">
        <v>117</v>
      </c>
      <c r="BO6" s="154" t="s">
        <v>119</v>
      </c>
      <c r="BP6" s="154" t="s">
        <v>121</v>
      </c>
      <c r="BQ6" s="154" t="s">
        <v>123</v>
      </c>
      <c r="BR6" s="154"/>
      <c r="BS6" s="154"/>
      <c r="BT6" s="154"/>
      <c r="BU6" s="154"/>
      <c r="BV6" s="155" t="s">
        <v>131</v>
      </c>
      <c r="BW6" s="155" t="s">
        <v>133</v>
      </c>
      <c r="BX6" s="155"/>
      <c r="BY6" s="155" t="s">
        <v>137</v>
      </c>
      <c r="BZ6" s="155" t="s">
        <v>139</v>
      </c>
      <c r="CA6" s="155"/>
      <c r="CB6" s="155"/>
      <c r="CC6" s="155"/>
      <c r="CD6" s="155"/>
      <c r="CE6" s="156" t="s">
        <v>146</v>
      </c>
      <c r="CF6" s="156" t="s">
        <v>148</v>
      </c>
      <c r="CG6" s="156" t="s">
        <v>150</v>
      </c>
      <c r="CH6" s="156" t="s">
        <v>152</v>
      </c>
      <c r="CI6" s="156" t="s">
        <v>154</v>
      </c>
      <c r="CJ6" s="156"/>
      <c r="CK6" s="157"/>
      <c r="CL6" s="157"/>
      <c r="CM6" s="157"/>
      <c r="CN6" s="157"/>
      <c r="CO6" s="157"/>
      <c r="CP6" s="157"/>
      <c r="CQ6" s="157"/>
      <c r="CR6" s="157"/>
      <c r="CS6" s="157"/>
      <c r="CT6" s="158"/>
      <c r="CU6" s="158"/>
      <c r="CV6" s="158"/>
      <c r="CW6" s="158"/>
      <c r="CX6" s="158"/>
      <c r="CY6" s="158"/>
      <c r="CZ6" s="158"/>
      <c r="DA6" s="158"/>
      <c r="DB6" s="158"/>
      <c r="DC6" s="159"/>
      <c r="DD6" s="159"/>
      <c r="DE6" s="159"/>
      <c r="DF6" s="159"/>
      <c r="DG6" s="159"/>
      <c r="DH6" s="159"/>
      <c r="DI6" s="159"/>
      <c r="DJ6" s="159"/>
      <c r="DK6" s="159"/>
      <c r="DL6" s="132"/>
      <c r="DM6" s="132"/>
      <c r="DN6" s="133"/>
      <c r="DO6" s="133"/>
      <c r="DP6" s="160"/>
      <c r="DQ6" s="161"/>
    </row>
    <row r="7" spans="1:121" s="135" customFormat="1" ht="46.5">
      <c r="A7" s="148" t="str">
        <f>'2. CFR Return'!E4</f>
        <v>0000</v>
      </c>
      <c r="B7" s="148" t="str">
        <f>'2. CFR Return'!E3</f>
        <v xml:space="preserve">SELECT SCHOOL HERE </v>
      </c>
      <c r="C7" s="148" t="str">
        <f>H1</f>
        <v xml:space="preserve"> Quarter 1 2025-26</v>
      </c>
      <c r="D7" s="148"/>
      <c r="E7" s="148" t="str">
        <f>'2. CFR Return'!E5</f>
        <v>Quarter 3</v>
      </c>
      <c r="F7" s="148"/>
      <c r="G7" s="149">
        <f>'2. CFR Return'!$W15</f>
        <v>0</v>
      </c>
      <c r="H7" s="149">
        <f>'2. CFR Return'!$W16</f>
        <v>0</v>
      </c>
      <c r="I7" s="149">
        <f>'2. CFR Return'!$W17</f>
        <v>0</v>
      </c>
      <c r="J7" s="149">
        <f>'2. CFR Return'!$W18</f>
        <v>0</v>
      </c>
      <c r="K7" s="149">
        <f>'2. CFR Return'!$W19</f>
        <v>0</v>
      </c>
      <c r="L7" s="149">
        <f>'2. CFR Return'!$W20</f>
        <v>0</v>
      </c>
      <c r="M7" s="149">
        <f>'2. CFR Return'!$W21</f>
        <v>0</v>
      </c>
      <c r="N7" s="149">
        <f>'2. CFR Return'!$W22</f>
        <v>0</v>
      </c>
      <c r="O7" s="149">
        <f>'2. CFR Return'!$W23</f>
        <v>0</v>
      </c>
      <c r="P7" s="149">
        <f>'2. CFR Return'!$W24</f>
        <v>0</v>
      </c>
      <c r="Q7" s="149">
        <f>'2. CFR Return'!$W25</f>
        <v>0</v>
      </c>
      <c r="R7" s="149">
        <f>'2. CFR Return'!$W26</f>
        <v>0</v>
      </c>
      <c r="S7" s="149">
        <f>'2. CFR Return'!$W27</f>
        <v>0</v>
      </c>
      <c r="T7" s="149">
        <f>'2. CFR Return'!$W28</f>
        <v>0</v>
      </c>
      <c r="U7" s="149">
        <f>'2. CFR Return'!$W29</f>
        <v>0</v>
      </c>
      <c r="V7" s="149" t="e">
        <f>'2. CFR Return'!#REF!</f>
        <v>#REF!</v>
      </c>
      <c r="W7" s="149" t="e">
        <f>'2. CFR Return'!#REF!</f>
        <v>#REF!</v>
      </c>
      <c r="X7" s="149" t="e">
        <f>'2. CFR Return'!#REF!</f>
        <v>#REF!</v>
      </c>
      <c r="Y7" s="149" t="e">
        <f>'2. CFR Return'!#REF!</f>
        <v>#REF!</v>
      </c>
      <c r="Z7" s="149" t="e">
        <f>SUM(G7:Y7)</f>
        <v>#REF!</v>
      </c>
      <c r="AA7" s="149">
        <f>'2. CFR Return'!$W32</f>
        <v>0</v>
      </c>
      <c r="AB7" s="149">
        <f>'2. CFR Return'!$W33</f>
        <v>0</v>
      </c>
      <c r="AC7" s="149">
        <f>'2. CFR Return'!$W34</f>
        <v>0</v>
      </c>
      <c r="AD7" s="149">
        <f>'2. CFR Return'!$W35</f>
        <v>0</v>
      </c>
      <c r="AE7" s="149">
        <f>'2. CFR Return'!$W36</f>
        <v>0</v>
      </c>
      <c r="AF7" s="149">
        <f>'2. CFR Return'!$W37</f>
        <v>0</v>
      </c>
      <c r="AG7" s="149">
        <f>'2. CFR Return'!$W38</f>
        <v>0</v>
      </c>
      <c r="AH7" s="149">
        <f>'2. CFR Return'!$W39</f>
        <v>0</v>
      </c>
      <c r="AI7" s="149">
        <f>'2. CFR Return'!$W40</f>
        <v>0</v>
      </c>
      <c r="AJ7" s="149">
        <f>'2. CFR Return'!$W41</f>
        <v>0</v>
      </c>
      <c r="AK7" s="149">
        <f>'2. CFR Return'!$W42</f>
        <v>0</v>
      </c>
      <c r="AL7" s="149">
        <f>'2. CFR Return'!$W43</f>
        <v>0</v>
      </c>
      <c r="AM7" s="149">
        <f>'2. CFR Return'!$W44</f>
        <v>0</v>
      </c>
      <c r="AN7" s="149">
        <f>'2. CFR Return'!$W45</f>
        <v>0</v>
      </c>
      <c r="AO7" s="149">
        <f>'2. CFR Return'!$W46</f>
        <v>0</v>
      </c>
      <c r="AP7" s="149">
        <f>'2. CFR Return'!$W47</f>
        <v>0</v>
      </c>
      <c r="AQ7" s="149">
        <f>'2. CFR Return'!$W48</f>
        <v>0</v>
      </c>
      <c r="AR7" s="149">
        <f>'2. CFR Return'!$W49</f>
        <v>0</v>
      </c>
      <c r="AS7" s="149">
        <f>'2. CFR Return'!$W50</f>
        <v>0</v>
      </c>
      <c r="AT7" s="149">
        <f>'2. CFR Return'!$W51</f>
        <v>0</v>
      </c>
      <c r="AU7" s="149">
        <f>'2. CFR Return'!$W58</f>
        <v>0</v>
      </c>
      <c r="AV7" s="149">
        <f>'2. CFR Return'!$W59</f>
        <v>0</v>
      </c>
      <c r="AW7" s="149">
        <f>'2. CFR Return'!$W60</f>
        <v>0</v>
      </c>
      <c r="AX7" s="149">
        <f>'2. CFR Return'!$W61</f>
        <v>0</v>
      </c>
      <c r="AY7" s="149">
        <f>'2. CFR Return'!$W62</f>
        <v>0</v>
      </c>
      <c r="AZ7" s="149">
        <f>'2. CFR Return'!$W63</f>
        <v>0</v>
      </c>
      <c r="BA7" s="149">
        <f>'2. CFR Return'!$W64</f>
        <v>0</v>
      </c>
      <c r="BB7" s="149">
        <f>'2. CFR Return'!$W65</f>
        <v>0</v>
      </c>
      <c r="BC7" s="149">
        <f>'2. CFR Return'!$W66</f>
        <v>0</v>
      </c>
      <c r="BD7" s="149">
        <f>'2. CFR Return'!$W67</f>
        <v>0</v>
      </c>
      <c r="BE7" s="149">
        <f>'2. CFR Return'!$W68</f>
        <v>0</v>
      </c>
      <c r="BF7" s="149">
        <f>SUM(AA7:BE7)</f>
        <v>0</v>
      </c>
      <c r="BG7" s="149">
        <f>'2. CFR Return'!$W13</f>
        <v>0</v>
      </c>
      <c r="BH7" s="149" t="e">
        <f>Z7-BF7</f>
        <v>#REF!</v>
      </c>
      <c r="BI7" s="149" t="e">
        <f>BG7+BH7</f>
        <v>#REF!</v>
      </c>
      <c r="BJ7" s="149">
        <f>'2. CFR Return'!$W79</f>
        <v>0</v>
      </c>
      <c r="BK7" s="149">
        <f>'2. CFR Return'!W80</f>
        <v>0</v>
      </c>
      <c r="BL7" s="149">
        <f>'2. CFR Return'!$W81</f>
        <v>0</v>
      </c>
      <c r="BM7" s="149">
        <f>SUM(BJ7:BL7)</f>
        <v>0</v>
      </c>
      <c r="BN7" s="149">
        <f>'2. CFR Return'!$W84</f>
        <v>0</v>
      </c>
      <c r="BO7" s="149">
        <f>'2. CFR Return'!$W85</f>
        <v>0</v>
      </c>
      <c r="BP7" s="149">
        <f>'2. CFR Return'!$W86</f>
        <v>0</v>
      </c>
      <c r="BQ7" s="149">
        <f>'2. CFR Return'!$W91</f>
        <v>0</v>
      </c>
      <c r="BR7" s="149">
        <f>SUM(BN7:BQ7)</f>
        <v>0</v>
      </c>
      <c r="BS7" s="149">
        <f>'2. CFR Return'!$W77</f>
        <v>0</v>
      </c>
      <c r="BT7" s="149">
        <f>BM7-BR7</f>
        <v>0</v>
      </c>
      <c r="BU7" s="149">
        <f>BS7+BT7</f>
        <v>0</v>
      </c>
      <c r="BV7" s="149">
        <f>'2. CFR Return'!$W102</f>
        <v>0</v>
      </c>
      <c r="BW7" s="149">
        <f>'2. CFR Return'!$W103</f>
        <v>0</v>
      </c>
      <c r="BX7" s="149">
        <f>BV7+BW7</f>
        <v>0</v>
      </c>
      <c r="BY7" s="149">
        <f>'2. CFR Return'!$W106</f>
        <v>0</v>
      </c>
      <c r="BZ7" s="149">
        <f>'2. CFR Return'!$W107</f>
        <v>0</v>
      </c>
      <c r="CA7" s="149">
        <f>BY7+BZ7</f>
        <v>0</v>
      </c>
      <c r="CB7" s="149">
        <f>'2. CFR Return'!$W100</f>
        <v>0</v>
      </c>
      <c r="CC7" s="149">
        <f>BX7-CA7</f>
        <v>0</v>
      </c>
      <c r="CD7" s="149">
        <f>CB7+CC7</f>
        <v>0</v>
      </c>
      <c r="CE7" s="149">
        <f>'2. CFR Return'!$W119</f>
        <v>0</v>
      </c>
      <c r="CF7" s="149">
        <f>'2. CFR Return'!$W120</f>
        <v>0</v>
      </c>
      <c r="CG7" s="149">
        <f>'2. CFR Return'!$W121</f>
        <v>0</v>
      </c>
      <c r="CH7" s="149">
        <f>'2. CFR Return'!$W122</f>
        <v>0</v>
      </c>
      <c r="CI7" s="149">
        <f>'2. CFR Return'!$W123</f>
        <v>0</v>
      </c>
      <c r="CJ7" s="149">
        <f>SUM(CE7:CI7)</f>
        <v>0</v>
      </c>
      <c r="CK7" s="149">
        <f>+'2. CFR Return'!K130</f>
        <v>0</v>
      </c>
      <c r="CL7" s="149">
        <f>+'2. CFR Return'!K133</f>
        <v>0</v>
      </c>
      <c r="CM7" s="149">
        <f>+'2. CFR Return'!K134</f>
        <v>0</v>
      </c>
      <c r="CN7" s="149">
        <f>CK7-CL7+CM7</f>
        <v>0</v>
      </c>
      <c r="CO7" s="149">
        <f>+'2. CFR Return'!K138</f>
        <v>0</v>
      </c>
      <c r="CP7" s="149">
        <f>'2. CFR Return'!K139</f>
        <v>0</v>
      </c>
      <c r="CQ7" s="149">
        <f>+'2. CFR Return'!K140</f>
        <v>0</v>
      </c>
      <c r="CR7" s="149">
        <f>+'2. CFR Return'!K141</f>
        <v>0</v>
      </c>
      <c r="CS7" s="149">
        <f>SUM(CN7:CR7)</f>
        <v>0</v>
      </c>
      <c r="CT7" s="149">
        <f>+'2. CFR Return'!W130</f>
        <v>0</v>
      </c>
      <c r="CU7" s="149">
        <f>+'2. CFR Return'!W133</f>
        <v>0</v>
      </c>
      <c r="CV7" s="149">
        <f>+'2. CFR Return'!W134</f>
        <v>0</v>
      </c>
      <c r="CW7" s="149">
        <f>CT7-CU7+CV7</f>
        <v>0</v>
      </c>
      <c r="CX7" s="149">
        <f>+'2. CFR Return'!W138</f>
        <v>0</v>
      </c>
      <c r="CY7" s="149">
        <f>'2. CFR Return'!W139</f>
        <v>0</v>
      </c>
      <c r="CZ7" s="149">
        <f>+'2. CFR Return'!W140</f>
        <v>0</v>
      </c>
      <c r="DA7" s="149">
        <f>+'2. CFR Return'!W141</f>
        <v>0</v>
      </c>
      <c r="DB7" s="149">
        <f>SUM(CW7:DA7)</f>
        <v>0</v>
      </c>
      <c r="DC7" s="149">
        <f>+'2. CFR Return'!$W148</f>
        <v>0</v>
      </c>
      <c r="DD7" s="149">
        <f>+'2. CFR Return'!$W149</f>
        <v>0</v>
      </c>
      <c r="DE7" s="149">
        <f>+'2. CFR Return'!$W150</f>
        <v>0</v>
      </c>
      <c r="DF7" s="149">
        <f>+'2. CFR Return'!$W151</f>
        <v>0</v>
      </c>
      <c r="DG7" s="149">
        <f>+'2. CFR Return'!$W152</f>
        <v>0</v>
      </c>
      <c r="DH7" s="149">
        <f>+'2. CFR Return'!$W153</f>
        <v>0</v>
      </c>
      <c r="DI7" s="149">
        <f>+'2. CFR Return'!$W154</f>
        <v>0</v>
      </c>
      <c r="DJ7" s="149">
        <f>+'2. CFR Return'!$W155</f>
        <v>0</v>
      </c>
      <c r="DK7" s="149">
        <f>SUM(DC7:DJ7)</f>
        <v>0</v>
      </c>
      <c r="DL7" s="149">
        <f>+'2. CFR Return'!W161</f>
        <v>0</v>
      </c>
      <c r="DM7" s="149">
        <f>+'2. CFR Return'!W162</f>
        <v>0</v>
      </c>
      <c r="DN7" s="149">
        <f>+'2. CFR Return'!W165</f>
        <v>0</v>
      </c>
      <c r="DO7" s="149">
        <f>+'2. CFR Return'!W166</f>
        <v>0</v>
      </c>
      <c r="DP7" s="149">
        <f>+'2. CFR Return'!W168</f>
        <v>0</v>
      </c>
      <c r="DQ7" s="147">
        <f>+'2. CFR Return'!W172</f>
        <v>0</v>
      </c>
    </row>
  </sheetData>
  <mergeCells count="10">
    <mergeCell ref="CT4:DB4"/>
    <mergeCell ref="DC4:DK4"/>
    <mergeCell ref="DL4:DM4"/>
    <mergeCell ref="DN4:DO4"/>
    <mergeCell ref="A4:F4"/>
    <mergeCell ref="G4:BI4"/>
    <mergeCell ref="BJ4:BU4"/>
    <mergeCell ref="BV4:CD4"/>
    <mergeCell ref="CE4:CJ4"/>
    <mergeCell ref="CK4:CS4"/>
  </mergeCells>
  <pageMargins left="0.7" right="0.7" top="0.75" bottom="0.75" header="0.3" footer="0.3"/>
  <headerFooter>
    <oddFooter>&amp;C_x000D_&amp;1#&amp;"Calibri"&amp;10&amp;K000000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69832-281C-4831-8C60-6C6B0B522A49}">
  <sheetPr>
    <tabColor rgb="FFFFFF00"/>
  </sheetPr>
  <dimension ref="A1:AA209"/>
  <sheetViews>
    <sheetView topLeftCell="H10" zoomScale="80" zoomScaleNormal="80" workbookViewId="0">
      <selection activeCell="K2" sqref="K2"/>
    </sheetView>
  </sheetViews>
  <sheetFormatPr defaultRowHeight="14.5"/>
  <cols>
    <col min="1" max="1" width="5.453125" bestFit="1" customWidth="1"/>
    <col min="2" max="2" width="7.7265625" bestFit="1" customWidth="1"/>
    <col min="3" max="3" width="7.54296875" bestFit="1" customWidth="1"/>
    <col min="4" max="4" width="37.26953125" customWidth="1"/>
    <col min="5" max="5" width="19" customWidth="1"/>
    <col min="6" max="7" width="15.1796875" customWidth="1"/>
    <col min="8" max="8" width="3.54296875" customWidth="1"/>
    <col min="9" max="11" width="16.7265625" bestFit="1" customWidth="1"/>
    <col min="12" max="12" width="3.54296875" customWidth="1"/>
    <col min="13" max="13" width="14.26953125" customWidth="1"/>
    <col min="14" max="14" width="3.54296875" customWidth="1"/>
    <col min="15" max="16" width="12.1796875" customWidth="1"/>
    <col min="17" max="17" width="13" bestFit="1" customWidth="1"/>
    <col min="18" max="25" width="12.1796875" customWidth="1"/>
    <col min="26" max="26" width="13.453125" bestFit="1" customWidth="1"/>
    <col min="27" max="27" width="15" customWidth="1"/>
  </cols>
  <sheetData>
    <row r="1" spans="1:27">
      <c r="A1" s="122" t="s">
        <v>1002</v>
      </c>
    </row>
    <row r="2" spans="1:27" ht="39" customHeight="1">
      <c r="N2" s="611" t="s">
        <v>1003</v>
      </c>
      <c r="O2" s="612" t="s">
        <v>1004</v>
      </c>
      <c r="P2" s="612" t="s">
        <v>1005</v>
      </c>
      <c r="Q2" s="612" t="s">
        <v>1006</v>
      </c>
      <c r="R2" s="612" t="s">
        <v>1007</v>
      </c>
      <c r="S2" s="613"/>
      <c r="T2" s="613"/>
      <c r="U2" s="613"/>
      <c r="V2" s="613"/>
      <c r="W2" s="613"/>
      <c r="X2" s="613"/>
      <c r="Y2" s="613"/>
      <c r="Z2" s="613"/>
      <c r="AA2" s="613"/>
    </row>
    <row r="3" spans="1:27" ht="44" thickBot="1">
      <c r="M3" s="614" t="s">
        <v>1008</v>
      </c>
      <c r="O3" s="615" t="s">
        <v>1009</v>
      </c>
      <c r="P3" s="616"/>
      <c r="Q3" s="616"/>
      <c r="R3" s="616"/>
      <c r="S3" s="616"/>
      <c r="T3" s="616"/>
      <c r="U3" s="616"/>
      <c r="V3" s="616"/>
      <c r="W3" s="616"/>
      <c r="X3" s="616"/>
      <c r="Y3" s="616"/>
      <c r="Z3" s="616"/>
      <c r="AA3" s="617"/>
    </row>
    <row r="4" spans="1:27" ht="43.5">
      <c r="A4" s="618" t="s">
        <v>530</v>
      </c>
      <c r="B4" s="619" t="s">
        <v>531</v>
      </c>
      <c r="C4" s="619" t="s">
        <v>232</v>
      </c>
      <c r="D4" s="619" t="s">
        <v>532</v>
      </c>
      <c r="E4" s="619" t="s">
        <v>533</v>
      </c>
      <c r="F4" s="619" t="s">
        <v>534</v>
      </c>
      <c r="G4" s="620" t="s">
        <v>1010</v>
      </c>
      <c r="I4" s="621" t="s">
        <v>1011</v>
      </c>
      <c r="J4" s="621" t="s">
        <v>1012</v>
      </c>
      <c r="K4" s="621" t="s">
        <v>1013</v>
      </c>
      <c r="M4" s="621" t="s">
        <v>1014</v>
      </c>
      <c r="O4" s="622">
        <v>45748</v>
      </c>
      <c r="P4" s="622">
        <v>45778</v>
      </c>
      <c r="Q4" s="622">
        <v>45809</v>
      </c>
      <c r="R4" s="622">
        <v>45839</v>
      </c>
      <c r="S4" s="622">
        <v>45870</v>
      </c>
      <c r="T4" s="622">
        <v>45901</v>
      </c>
      <c r="U4" s="622">
        <v>45931</v>
      </c>
      <c r="V4" s="622">
        <v>45962</v>
      </c>
      <c r="W4" s="622">
        <v>45992</v>
      </c>
      <c r="X4" s="622">
        <v>46023</v>
      </c>
      <c r="Y4" s="622">
        <v>46054</v>
      </c>
      <c r="Z4" s="622">
        <v>46082</v>
      </c>
      <c r="AA4" s="622" t="s">
        <v>1015</v>
      </c>
    </row>
    <row r="5" spans="1:27">
      <c r="A5" s="623">
        <v>1027</v>
      </c>
      <c r="B5" s="624">
        <v>103140</v>
      </c>
      <c r="C5" s="624" t="s">
        <v>603</v>
      </c>
      <c r="D5" s="624" t="s">
        <v>393</v>
      </c>
      <c r="E5" s="625" t="s">
        <v>536</v>
      </c>
      <c r="F5" s="625" t="s">
        <v>537</v>
      </c>
      <c r="G5" s="626" t="s">
        <v>1016</v>
      </c>
      <c r="I5" s="627">
        <v>311817.20999999996</v>
      </c>
      <c r="J5" s="627">
        <v>4145.2700000000004</v>
      </c>
      <c r="K5" s="627">
        <f>I5+J5</f>
        <v>315962.48</v>
      </c>
      <c r="M5" s="627"/>
      <c r="O5" s="627">
        <v>0</v>
      </c>
      <c r="P5" s="627">
        <v>0</v>
      </c>
      <c r="Q5" s="627">
        <v>0</v>
      </c>
      <c r="R5" s="627">
        <v>0</v>
      </c>
      <c r="S5" s="627"/>
      <c r="T5" s="627"/>
      <c r="U5" s="627"/>
      <c r="V5" s="627"/>
      <c r="W5" s="627"/>
      <c r="X5" s="627"/>
      <c r="Y5" s="627"/>
      <c r="Z5" s="627"/>
      <c r="AA5" s="627">
        <f>(-M5)+SUM(O5:Z5)</f>
        <v>0</v>
      </c>
    </row>
    <row r="6" spans="1:27">
      <c r="A6" s="238">
        <v>2010</v>
      </c>
      <c r="B6" s="168">
        <v>103159</v>
      </c>
      <c r="C6" s="168" t="s">
        <v>601</v>
      </c>
      <c r="D6" s="168" t="s">
        <v>391</v>
      </c>
      <c r="E6" s="625" t="s">
        <v>539</v>
      </c>
      <c r="F6" s="625" t="s">
        <v>537</v>
      </c>
      <c r="G6" s="626">
        <v>0</v>
      </c>
      <c r="I6" s="627">
        <v>543637.66999999958</v>
      </c>
      <c r="J6" s="627">
        <v>145977.87</v>
      </c>
      <c r="K6" s="627">
        <f t="shared" ref="K6:K69" si="0">I6+J6</f>
        <v>689615.53999999957</v>
      </c>
      <c r="M6" s="627"/>
      <c r="O6" s="627">
        <v>0</v>
      </c>
      <c r="P6" s="627">
        <v>0</v>
      </c>
      <c r="Q6" s="627">
        <v>0</v>
      </c>
      <c r="R6" s="627">
        <v>0</v>
      </c>
      <c r="S6" s="627"/>
      <c r="T6" s="627"/>
      <c r="U6" s="627"/>
      <c r="V6" s="627"/>
      <c r="W6" s="627"/>
      <c r="X6" s="627"/>
      <c r="Y6" s="627"/>
      <c r="Z6" s="627"/>
      <c r="AA6" s="627">
        <f t="shared" ref="AA6:AA69" si="1">(-M6)+SUM(O6:Z6)</f>
        <v>0</v>
      </c>
    </row>
    <row r="7" spans="1:27">
      <c r="A7" s="238">
        <v>5949</v>
      </c>
      <c r="B7" s="168">
        <v>131465</v>
      </c>
      <c r="C7" s="168" t="s">
        <v>605</v>
      </c>
      <c r="D7" s="168" t="s">
        <v>395</v>
      </c>
      <c r="E7" s="625" t="s">
        <v>539</v>
      </c>
      <c r="F7" s="625" t="s">
        <v>537</v>
      </c>
      <c r="G7" s="626" t="s">
        <v>1017</v>
      </c>
      <c r="I7" s="627">
        <v>1036768.3400000057</v>
      </c>
      <c r="J7" s="627">
        <v>11065</v>
      </c>
      <c r="K7" s="627">
        <f t="shared" si="0"/>
        <v>1047833.3400000057</v>
      </c>
      <c r="M7" s="627"/>
      <c r="O7" s="627">
        <v>0</v>
      </c>
      <c r="P7" s="627">
        <v>0</v>
      </c>
      <c r="Q7" s="627">
        <v>0</v>
      </c>
      <c r="R7" s="627">
        <v>0</v>
      </c>
      <c r="S7" s="627"/>
      <c r="T7" s="627"/>
      <c r="U7" s="627"/>
      <c r="V7" s="627"/>
      <c r="W7" s="627"/>
      <c r="X7" s="627"/>
      <c r="Y7" s="627"/>
      <c r="Z7" s="627"/>
      <c r="AA7" s="627">
        <f t="shared" si="1"/>
        <v>0</v>
      </c>
    </row>
    <row r="8" spans="1:27">
      <c r="A8" s="238">
        <v>1017</v>
      </c>
      <c r="B8" s="168">
        <v>103130</v>
      </c>
      <c r="C8" s="168" t="s">
        <v>535</v>
      </c>
      <c r="D8" s="168" t="s">
        <v>331</v>
      </c>
      <c r="E8" s="625" t="s">
        <v>536</v>
      </c>
      <c r="F8" s="625" t="s">
        <v>537</v>
      </c>
      <c r="G8" s="626">
        <v>0</v>
      </c>
      <c r="I8" s="627">
        <v>33765.819999999803</v>
      </c>
      <c r="J8" s="627">
        <v>11243.269999999995</v>
      </c>
      <c r="K8" s="627">
        <f t="shared" si="0"/>
        <v>45009.0899999998</v>
      </c>
      <c r="M8" s="627"/>
      <c r="O8" s="627">
        <v>0</v>
      </c>
      <c r="P8" s="627">
        <v>0</v>
      </c>
      <c r="Q8" s="627">
        <v>0</v>
      </c>
      <c r="R8" s="627">
        <v>0</v>
      </c>
      <c r="S8" s="627"/>
      <c r="T8" s="627"/>
      <c r="U8" s="627"/>
      <c r="V8" s="627"/>
      <c r="W8" s="627"/>
      <c r="X8" s="627"/>
      <c r="Y8" s="627"/>
      <c r="Z8" s="627"/>
      <c r="AA8" s="627">
        <f t="shared" si="1"/>
        <v>0</v>
      </c>
    </row>
    <row r="9" spans="1:27">
      <c r="A9" s="238">
        <v>2153</v>
      </c>
      <c r="B9" s="168">
        <v>103243</v>
      </c>
      <c r="C9" s="168" t="s">
        <v>690</v>
      </c>
      <c r="D9" s="168" t="s">
        <v>480</v>
      </c>
      <c r="E9" s="625" t="s">
        <v>539</v>
      </c>
      <c r="F9" s="625" t="s">
        <v>537</v>
      </c>
      <c r="G9" s="626" t="s">
        <v>1017</v>
      </c>
      <c r="I9" s="627">
        <v>458200.9799999987</v>
      </c>
      <c r="J9" s="627">
        <v>17202.5</v>
      </c>
      <c r="K9" s="627">
        <f t="shared" si="0"/>
        <v>475403.4799999987</v>
      </c>
      <c r="M9" s="627"/>
      <c r="O9" s="627">
        <v>0</v>
      </c>
      <c r="P9" s="627">
        <v>0</v>
      </c>
      <c r="Q9" s="627">
        <v>0</v>
      </c>
      <c r="R9" s="627">
        <v>0</v>
      </c>
      <c r="S9" s="627"/>
      <c r="T9" s="627"/>
      <c r="U9" s="627"/>
      <c r="V9" s="627"/>
      <c r="W9" s="627"/>
      <c r="X9" s="627"/>
      <c r="Y9" s="627"/>
      <c r="Z9" s="627"/>
      <c r="AA9" s="627">
        <f t="shared" si="1"/>
        <v>0</v>
      </c>
    </row>
    <row r="10" spans="1:27">
      <c r="A10" s="238">
        <v>2062</v>
      </c>
      <c r="B10" s="168">
        <v>103192</v>
      </c>
      <c r="C10" s="168" t="s">
        <v>606</v>
      </c>
      <c r="D10" s="168" t="s">
        <v>396</v>
      </c>
      <c r="E10" s="625" t="s">
        <v>539</v>
      </c>
      <c r="F10" s="625" t="s">
        <v>537</v>
      </c>
      <c r="G10" s="626" t="s">
        <v>1017</v>
      </c>
      <c r="I10" s="627">
        <v>405486.94000000099</v>
      </c>
      <c r="J10" s="627">
        <v>25844.01</v>
      </c>
      <c r="K10" s="627">
        <f t="shared" si="0"/>
        <v>431330.950000001</v>
      </c>
      <c r="M10" s="627"/>
      <c r="O10" s="627">
        <v>0</v>
      </c>
      <c r="P10" s="627">
        <v>0</v>
      </c>
      <c r="Q10" s="627">
        <v>0</v>
      </c>
      <c r="R10" s="627">
        <v>0</v>
      </c>
      <c r="S10" s="627"/>
      <c r="T10" s="627"/>
      <c r="U10" s="627"/>
      <c r="V10" s="627"/>
      <c r="W10" s="627"/>
      <c r="X10" s="627"/>
      <c r="Y10" s="627"/>
      <c r="Z10" s="627"/>
      <c r="AA10" s="627">
        <f t="shared" si="1"/>
        <v>0</v>
      </c>
    </row>
    <row r="11" spans="1:27">
      <c r="A11" s="238">
        <v>2479</v>
      </c>
      <c r="B11" s="168">
        <v>132074</v>
      </c>
      <c r="C11" s="168" t="s">
        <v>691</v>
      </c>
      <c r="D11" s="168" t="s">
        <v>481</v>
      </c>
      <c r="E11" s="625" t="s">
        <v>539</v>
      </c>
      <c r="F11" s="625" t="s">
        <v>537</v>
      </c>
      <c r="G11" s="626" t="s">
        <v>1017</v>
      </c>
      <c r="I11" s="627">
        <v>105093.84999999334</v>
      </c>
      <c r="J11" s="627">
        <v>26835.650000000005</v>
      </c>
      <c r="K11" s="627">
        <f t="shared" si="0"/>
        <v>131929.49999999334</v>
      </c>
      <c r="M11" s="627"/>
      <c r="O11" s="627">
        <v>0</v>
      </c>
      <c r="P11" s="627">
        <v>0</v>
      </c>
      <c r="Q11" s="627">
        <v>0</v>
      </c>
      <c r="R11" s="627">
        <v>0</v>
      </c>
      <c r="S11" s="627"/>
      <c r="T11" s="627"/>
      <c r="U11" s="627"/>
      <c r="V11" s="627"/>
      <c r="W11" s="627"/>
      <c r="X11" s="627"/>
      <c r="Y11" s="627"/>
      <c r="Z11" s="627"/>
      <c r="AA11" s="627">
        <f t="shared" si="1"/>
        <v>0</v>
      </c>
    </row>
    <row r="12" spans="1:27">
      <c r="A12" s="238">
        <v>2300</v>
      </c>
      <c r="B12" s="168">
        <v>103324</v>
      </c>
      <c r="C12" s="168" t="s">
        <v>538</v>
      </c>
      <c r="D12" s="168" t="s">
        <v>332</v>
      </c>
      <c r="E12" s="625" t="s">
        <v>539</v>
      </c>
      <c r="F12" s="625" t="s">
        <v>537</v>
      </c>
      <c r="G12" s="626">
        <v>0</v>
      </c>
      <c r="I12" s="627">
        <v>257409.12000000023</v>
      </c>
      <c r="J12" s="627">
        <v>57514.54</v>
      </c>
      <c r="K12" s="627">
        <f t="shared" si="0"/>
        <v>314923.66000000021</v>
      </c>
      <c r="M12" s="627"/>
      <c r="O12" s="627">
        <v>0</v>
      </c>
      <c r="P12" s="627">
        <v>0</v>
      </c>
      <c r="Q12" s="627">
        <v>0</v>
      </c>
      <c r="R12" s="627">
        <v>0</v>
      </c>
      <c r="S12" s="627"/>
      <c r="T12" s="627"/>
      <c r="U12" s="627"/>
      <c r="V12" s="627"/>
      <c r="W12" s="627"/>
      <c r="X12" s="627"/>
      <c r="Y12" s="627"/>
      <c r="Z12" s="627"/>
      <c r="AA12" s="627">
        <f t="shared" si="1"/>
        <v>0</v>
      </c>
    </row>
    <row r="13" spans="1:27">
      <c r="A13" s="238">
        <v>7016</v>
      </c>
      <c r="B13" s="168">
        <v>103606</v>
      </c>
      <c r="C13" s="168" t="s">
        <v>540</v>
      </c>
      <c r="D13" s="168" t="s">
        <v>333</v>
      </c>
      <c r="E13" s="625" t="s">
        <v>541</v>
      </c>
      <c r="F13" s="625" t="s">
        <v>537</v>
      </c>
      <c r="G13" s="626">
        <v>0</v>
      </c>
      <c r="I13" s="627">
        <v>375429</v>
      </c>
      <c r="J13" s="627">
        <v>70303</v>
      </c>
      <c r="K13" s="627">
        <f t="shared" si="0"/>
        <v>445732</v>
      </c>
      <c r="M13" s="627"/>
      <c r="O13" s="627">
        <v>0</v>
      </c>
      <c r="P13" s="627">
        <v>0</v>
      </c>
      <c r="Q13" s="627">
        <v>0</v>
      </c>
      <c r="R13" s="627">
        <v>0</v>
      </c>
      <c r="S13" s="627"/>
      <c r="T13" s="627"/>
      <c r="U13" s="627"/>
      <c r="V13" s="627"/>
      <c r="W13" s="627"/>
      <c r="X13" s="627"/>
      <c r="Y13" s="627"/>
      <c r="Z13" s="627"/>
      <c r="AA13" s="627">
        <f t="shared" si="1"/>
        <v>0</v>
      </c>
    </row>
    <row r="14" spans="1:27">
      <c r="A14" s="238">
        <v>2017</v>
      </c>
      <c r="B14" s="168">
        <v>103164</v>
      </c>
      <c r="C14" s="168" t="s">
        <v>609</v>
      </c>
      <c r="D14" s="168" t="s">
        <v>399</v>
      </c>
      <c r="E14" s="625" t="s">
        <v>539</v>
      </c>
      <c r="F14" s="625" t="s">
        <v>537</v>
      </c>
      <c r="G14" s="626" t="s">
        <v>1017</v>
      </c>
      <c r="I14" s="627">
        <v>-100361.40999999945</v>
      </c>
      <c r="J14" s="627">
        <v>13294.82</v>
      </c>
      <c r="K14" s="627">
        <f t="shared" si="0"/>
        <v>-87066.589999999444</v>
      </c>
      <c r="M14" s="627"/>
      <c r="O14" s="627">
        <v>0</v>
      </c>
      <c r="P14" s="627">
        <v>0</v>
      </c>
      <c r="Q14" s="627">
        <v>0</v>
      </c>
      <c r="R14" s="627">
        <v>0</v>
      </c>
      <c r="S14" s="627"/>
      <c r="T14" s="627"/>
      <c r="U14" s="627"/>
      <c r="V14" s="627"/>
      <c r="W14" s="627"/>
      <c r="X14" s="627"/>
      <c r="Y14" s="627"/>
      <c r="Z14" s="627"/>
      <c r="AA14" s="627">
        <f t="shared" si="1"/>
        <v>0</v>
      </c>
    </row>
    <row r="15" spans="1:27">
      <c r="A15" s="238">
        <v>2016</v>
      </c>
      <c r="B15" s="168">
        <v>103163</v>
      </c>
      <c r="C15" s="168" t="s">
        <v>610</v>
      </c>
      <c r="D15" s="168" t="s">
        <v>400</v>
      </c>
      <c r="E15" s="625" t="s">
        <v>539</v>
      </c>
      <c r="F15" s="625" t="s">
        <v>537</v>
      </c>
      <c r="G15" s="626" t="s">
        <v>1017</v>
      </c>
      <c r="I15" s="627">
        <v>154984</v>
      </c>
      <c r="J15" s="627">
        <v>8039</v>
      </c>
      <c r="K15" s="627">
        <f t="shared" si="0"/>
        <v>163023</v>
      </c>
      <c r="M15" s="627"/>
      <c r="O15" s="627">
        <v>0</v>
      </c>
      <c r="P15" s="627">
        <v>0</v>
      </c>
      <c r="Q15" s="627">
        <v>0</v>
      </c>
      <c r="R15" s="627">
        <v>0</v>
      </c>
      <c r="S15" s="627"/>
      <c r="T15" s="627"/>
      <c r="U15" s="627"/>
      <c r="V15" s="627"/>
      <c r="W15" s="627"/>
      <c r="X15" s="627"/>
      <c r="Y15" s="627"/>
      <c r="Z15" s="627"/>
      <c r="AA15" s="627">
        <f t="shared" si="1"/>
        <v>0</v>
      </c>
    </row>
    <row r="16" spans="1:27">
      <c r="A16" s="238">
        <v>2239</v>
      </c>
      <c r="B16" s="168">
        <v>103289</v>
      </c>
      <c r="C16" s="168" t="s">
        <v>692</v>
      </c>
      <c r="D16" s="168" t="s">
        <v>482</v>
      </c>
      <c r="E16" s="625" t="s">
        <v>539</v>
      </c>
      <c r="F16" s="625" t="s">
        <v>537</v>
      </c>
      <c r="G16" s="626" t="s">
        <v>1017</v>
      </c>
      <c r="I16" s="627">
        <v>4803.1600000000617</v>
      </c>
      <c r="J16" s="627">
        <v>8871.6699999999983</v>
      </c>
      <c r="K16" s="627">
        <f t="shared" si="0"/>
        <v>13674.83000000006</v>
      </c>
      <c r="M16" s="627"/>
      <c r="O16" s="627">
        <v>0</v>
      </c>
      <c r="P16" s="627">
        <v>0</v>
      </c>
      <c r="Q16" s="627">
        <v>0</v>
      </c>
      <c r="R16" s="627">
        <v>0</v>
      </c>
      <c r="S16" s="627"/>
      <c r="T16" s="627"/>
      <c r="U16" s="627"/>
      <c r="V16" s="627"/>
      <c r="W16" s="627"/>
      <c r="X16" s="627"/>
      <c r="Y16" s="627"/>
      <c r="Z16" s="627"/>
      <c r="AA16" s="627">
        <f t="shared" si="1"/>
        <v>0</v>
      </c>
    </row>
    <row r="17" spans="1:27">
      <c r="A17" s="238">
        <v>2241</v>
      </c>
      <c r="B17" s="168">
        <v>103291</v>
      </c>
      <c r="C17" s="168" t="s">
        <v>611</v>
      </c>
      <c r="D17" s="168" t="s">
        <v>401</v>
      </c>
      <c r="E17" s="625" t="s">
        <v>539</v>
      </c>
      <c r="F17" s="625" t="s">
        <v>537</v>
      </c>
      <c r="G17" s="626" t="s">
        <v>1016</v>
      </c>
      <c r="I17" s="627">
        <v>-58421.729999999807</v>
      </c>
      <c r="J17" s="627">
        <v>12725.869999999999</v>
      </c>
      <c r="K17" s="627">
        <f t="shared" si="0"/>
        <v>-45695.859999999811</v>
      </c>
      <c r="M17" s="627"/>
      <c r="O17" s="627">
        <v>0</v>
      </c>
      <c r="P17" s="627">
        <v>0</v>
      </c>
      <c r="Q17" s="628">
        <v>58421.73</v>
      </c>
      <c r="R17" s="627">
        <v>280000</v>
      </c>
      <c r="S17" s="627"/>
      <c r="T17" s="627"/>
      <c r="U17" s="627"/>
      <c r="V17" s="627"/>
      <c r="W17" s="627"/>
      <c r="X17" s="627"/>
      <c r="Y17" s="627"/>
      <c r="Z17" s="627"/>
      <c r="AA17" s="627">
        <f>(-M17)+SUM(O17:Z17)</f>
        <v>338421.73</v>
      </c>
    </row>
    <row r="18" spans="1:27">
      <c r="A18" s="238">
        <v>5413</v>
      </c>
      <c r="B18" s="168">
        <v>103560</v>
      </c>
      <c r="C18" s="168" t="s">
        <v>542</v>
      </c>
      <c r="D18" s="168" t="s">
        <v>334</v>
      </c>
      <c r="E18" s="625" t="s">
        <v>543</v>
      </c>
      <c r="F18" s="625" t="s">
        <v>537</v>
      </c>
      <c r="G18" s="626">
        <v>0</v>
      </c>
      <c r="I18" s="627">
        <v>248128.38000000076</v>
      </c>
      <c r="J18" s="627">
        <v>0</v>
      </c>
      <c r="K18" s="627">
        <f t="shared" si="0"/>
        <v>248128.38000000076</v>
      </c>
      <c r="M18" s="627"/>
      <c r="O18" s="627">
        <v>0</v>
      </c>
      <c r="P18" s="627">
        <v>0</v>
      </c>
      <c r="Q18" s="627">
        <v>0</v>
      </c>
      <c r="R18" s="627">
        <v>0</v>
      </c>
      <c r="S18" s="627"/>
      <c r="T18" s="627"/>
      <c r="U18" s="627"/>
      <c r="V18" s="627"/>
      <c r="W18" s="627"/>
      <c r="X18" s="627"/>
      <c r="Y18" s="627"/>
      <c r="Z18" s="627"/>
      <c r="AA18" s="627">
        <f t="shared" si="1"/>
        <v>0</v>
      </c>
    </row>
    <row r="19" spans="1:27">
      <c r="A19" s="238">
        <v>1025</v>
      </c>
      <c r="B19" s="168">
        <v>103138</v>
      </c>
      <c r="C19" s="168" t="s">
        <v>614</v>
      </c>
      <c r="D19" s="168" t="s">
        <v>404</v>
      </c>
      <c r="E19" s="625" t="s">
        <v>536</v>
      </c>
      <c r="F19" s="625" t="s">
        <v>537</v>
      </c>
      <c r="G19" s="626" t="s">
        <v>1017</v>
      </c>
      <c r="I19" s="627">
        <v>636711.52000000025</v>
      </c>
      <c r="J19" s="627">
        <v>27676.25</v>
      </c>
      <c r="K19" s="627">
        <f t="shared" si="0"/>
        <v>664387.77000000025</v>
      </c>
      <c r="M19" s="627"/>
      <c r="O19" s="627">
        <v>0</v>
      </c>
      <c r="P19" s="627">
        <v>0</v>
      </c>
      <c r="Q19" s="627">
        <v>0</v>
      </c>
      <c r="R19" s="627">
        <v>0</v>
      </c>
      <c r="S19" s="627"/>
      <c r="T19" s="627"/>
      <c r="U19" s="627"/>
      <c r="V19" s="627"/>
      <c r="W19" s="627"/>
      <c r="X19" s="627"/>
      <c r="Y19" s="627"/>
      <c r="Z19" s="627"/>
      <c r="AA19" s="627">
        <f t="shared" si="1"/>
        <v>0</v>
      </c>
    </row>
    <row r="20" spans="1:27">
      <c r="A20" s="238">
        <v>2402</v>
      </c>
      <c r="B20" s="168">
        <v>103342</v>
      </c>
      <c r="C20" s="168" t="s">
        <v>544</v>
      </c>
      <c r="D20" s="168" t="s">
        <v>335</v>
      </c>
      <c r="E20" s="625" t="s">
        <v>539</v>
      </c>
      <c r="F20" s="625" t="s">
        <v>537</v>
      </c>
      <c r="G20" s="626">
        <v>0</v>
      </c>
      <c r="I20" s="627">
        <v>-86751.580000000249</v>
      </c>
      <c r="J20" s="627">
        <v>56294.36</v>
      </c>
      <c r="K20" s="627">
        <f t="shared" si="0"/>
        <v>-30457.220000000249</v>
      </c>
      <c r="M20" s="627"/>
      <c r="O20" s="627">
        <v>0</v>
      </c>
      <c r="P20" s="627">
        <v>0</v>
      </c>
      <c r="Q20" s="628">
        <v>86751.58</v>
      </c>
      <c r="R20" s="627">
        <v>0</v>
      </c>
      <c r="S20" s="627"/>
      <c r="T20" s="627"/>
      <c r="U20" s="627"/>
      <c r="V20" s="627"/>
      <c r="W20" s="627"/>
      <c r="X20" s="627"/>
      <c r="Y20" s="627"/>
      <c r="Z20" s="627"/>
      <c r="AA20" s="627">
        <f t="shared" si="1"/>
        <v>86751.58</v>
      </c>
    </row>
    <row r="21" spans="1:27">
      <c r="A21" s="238">
        <v>2401</v>
      </c>
      <c r="B21" s="168">
        <v>103341</v>
      </c>
      <c r="C21" s="168" t="s">
        <v>545</v>
      </c>
      <c r="D21" s="168" t="s">
        <v>336</v>
      </c>
      <c r="E21" s="625" t="s">
        <v>539</v>
      </c>
      <c r="F21" s="625" t="s">
        <v>537</v>
      </c>
      <c r="G21" s="626">
        <v>0</v>
      </c>
      <c r="I21" s="627">
        <v>21873.179999999993</v>
      </c>
      <c r="J21" s="627">
        <v>58954.69</v>
      </c>
      <c r="K21" s="627">
        <f t="shared" si="0"/>
        <v>80827.87</v>
      </c>
      <c r="M21" s="627"/>
      <c r="O21" s="627">
        <v>0</v>
      </c>
      <c r="P21" s="627">
        <v>0</v>
      </c>
      <c r="Q21" s="627">
        <v>0</v>
      </c>
      <c r="R21" s="627">
        <v>0</v>
      </c>
      <c r="S21" s="627"/>
      <c r="T21" s="627"/>
      <c r="U21" s="627"/>
      <c r="V21" s="627"/>
      <c r="W21" s="627"/>
      <c r="X21" s="627"/>
      <c r="Y21" s="627"/>
      <c r="Z21" s="627"/>
      <c r="AA21" s="627">
        <f t="shared" si="1"/>
        <v>0</v>
      </c>
    </row>
    <row r="22" spans="1:27">
      <c r="A22" s="238">
        <v>4115</v>
      </c>
      <c r="B22" s="168">
        <v>103493</v>
      </c>
      <c r="C22" s="168" t="s">
        <v>546</v>
      </c>
      <c r="D22" s="168" t="s">
        <v>337</v>
      </c>
      <c r="E22" s="625" t="s">
        <v>543</v>
      </c>
      <c r="F22" s="625" t="s">
        <v>537</v>
      </c>
      <c r="G22" s="626">
        <v>0</v>
      </c>
      <c r="I22" s="627">
        <v>2250261.4399999981</v>
      </c>
      <c r="J22" s="627">
        <v>0</v>
      </c>
      <c r="K22" s="627">
        <f t="shared" si="0"/>
        <v>2250261.4399999981</v>
      </c>
      <c r="M22" s="627"/>
      <c r="O22" s="627">
        <v>0</v>
      </c>
      <c r="P22" s="627">
        <v>0</v>
      </c>
      <c r="Q22" s="627">
        <v>0</v>
      </c>
      <c r="R22" s="627">
        <v>0</v>
      </c>
      <c r="S22" s="627"/>
      <c r="T22" s="627"/>
      <c r="U22" s="627"/>
      <c r="V22" s="627"/>
      <c r="W22" s="627"/>
      <c r="X22" s="627"/>
      <c r="Y22" s="627"/>
      <c r="Z22" s="627"/>
      <c r="AA22" s="627">
        <f t="shared" si="1"/>
        <v>0</v>
      </c>
    </row>
    <row r="23" spans="1:27">
      <c r="A23" s="238">
        <v>2030</v>
      </c>
      <c r="B23" s="168">
        <v>103172</v>
      </c>
      <c r="C23" s="168" t="s">
        <v>547</v>
      </c>
      <c r="D23" s="168" t="s">
        <v>338</v>
      </c>
      <c r="E23" s="625" t="s">
        <v>539</v>
      </c>
      <c r="F23" s="625" t="s">
        <v>537</v>
      </c>
      <c r="G23" s="626">
        <v>0</v>
      </c>
      <c r="I23" s="627">
        <v>542567.29999999877</v>
      </c>
      <c r="J23" s="627">
        <v>52009.5</v>
      </c>
      <c r="K23" s="627">
        <f t="shared" si="0"/>
        <v>594576.79999999877</v>
      </c>
      <c r="M23" s="627"/>
      <c r="O23" s="627">
        <v>0</v>
      </c>
      <c r="P23" s="627">
        <v>0</v>
      </c>
      <c r="Q23" s="627">
        <v>0</v>
      </c>
      <c r="R23" s="627">
        <v>0</v>
      </c>
      <c r="S23" s="627"/>
      <c r="T23" s="627"/>
      <c r="U23" s="627"/>
      <c r="V23" s="627"/>
      <c r="W23" s="627"/>
      <c r="X23" s="627"/>
      <c r="Y23" s="627"/>
      <c r="Z23" s="627"/>
      <c r="AA23" s="627">
        <f t="shared" si="1"/>
        <v>0</v>
      </c>
    </row>
    <row r="24" spans="1:27">
      <c r="A24" s="238">
        <v>3353</v>
      </c>
      <c r="B24" s="168">
        <v>103445</v>
      </c>
      <c r="C24" s="168" t="s">
        <v>615</v>
      </c>
      <c r="D24" s="168" t="s">
        <v>405</v>
      </c>
      <c r="E24" s="625" t="s">
        <v>539</v>
      </c>
      <c r="F24" s="625" t="s">
        <v>537</v>
      </c>
      <c r="G24" s="626" t="s">
        <v>1016</v>
      </c>
      <c r="I24" s="627">
        <v>148846.70000000601</v>
      </c>
      <c r="J24" s="627">
        <v>0</v>
      </c>
      <c r="K24" s="627">
        <f t="shared" si="0"/>
        <v>148846.70000000601</v>
      </c>
      <c r="M24" s="627"/>
      <c r="O24" s="627">
        <v>0</v>
      </c>
      <c r="P24" s="627">
        <v>0</v>
      </c>
      <c r="Q24" s="627">
        <v>0</v>
      </c>
      <c r="R24" s="627">
        <v>0</v>
      </c>
      <c r="S24" s="627"/>
      <c r="T24" s="627"/>
      <c r="U24" s="627"/>
      <c r="V24" s="627"/>
      <c r="W24" s="627"/>
      <c r="X24" s="627"/>
      <c r="Y24" s="627"/>
      <c r="Z24" s="627"/>
      <c r="AA24" s="627">
        <f t="shared" si="1"/>
        <v>0</v>
      </c>
    </row>
    <row r="25" spans="1:27">
      <c r="A25" s="238">
        <v>7030</v>
      </c>
      <c r="B25" s="168">
        <v>103611</v>
      </c>
      <c r="C25" s="168" t="s">
        <v>694</v>
      </c>
      <c r="D25" s="168" t="s">
        <v>484</v>
      </c>
      <c r="E25" s="625" t="s">
        <v>541</v>
      </c>
      <c r="F25" s="625" t="s">
        <v>537</v>
      </c>
      <c r="G25" s="626" t="s">
        <v>1017</v>
      </c>
      <c r="I25" s="627">
        <v>555829.35000000219</v>
      </c>
      <c r="J25" s="627">
        <v>7543.75</v>
      </c>
      <c r="K25" s="627">
        <f t="shared" si="0"/>
        <v>563373.10000000219</v>
      </c>
      <c r="M25" s="627"/>
      <c r="O25" s="627">
        <v>0</v>
      </c>
      <c r="P25" s="627">
        <v>0</v>
      </c>
      <c r="Q25" s="627">
        <v>0</v>
      </c>
      <c r="R25" s="627">
        <v>0</v>
      </c>
      <c r="S25" s="627"/>
      <c r="T25" s="627"/>
      <c r="U25" s="627"/>
      <c r="V25" s="627"/>
      <c r="W25" s="627"/>
      <c r="X25" s="627"/>
      <c r="Y25" s="627"/>
      <c r="Z25" s="627"/>
      <c r="AA25" s="627">
        <f t="shared" si="1"/>
        <v>0</v>
      </c>
    </row>
    <row r="26" spans="1:27">
      <c r="A26" s="238">
        <v>1002</v>
      </c>
      <c r="B26" s="168">
        <v>103121</v>
      </c>
      <c r="C26" s="168" t="s">
        <v>616</v>
      </c>
      <c r="D26" s="168" t="s">
        <v>406</v>
      </c>
      <c r="E26" s="625" t="s">
        <v>536</v>
      </c>
      <c r="F26" s="625" t="s">
        <v>537</v>
      </c>
      <c r="G26" s="626" t="s">
        <v>1017</v>
      </c>
      <c r="I26" s="627">
        <v>293856.1900000007</v>
      </c>
      <c r="J26" s="627">
        <v>45276.25</v>
      </c>
      <c r="K26" s="627">
        <f t="shared" si="0"/>
        <v>339132.4400000007</v>
      </c>
      <c r="M26" s="627"/>
      <c r="O26" s="627">
        <v>0</v>
      </c>
      <c r="P26" s="627">
        <v>0</v>
      </c>
      <c r="Q26" s="627">
        <v>0</v>
      </c>
      <c r="R26" s="627">
        <v>0</v>
      </c>
      <c r="S26" s="627"/>
      <c r="T26" s="627"/>
      <c r="U26" s="627"/>
      <c r="V26" s="627"/>
      <c r="W26" s="627"/>
      <c r="X26" s="627"/>
      <c r="Y26" s="627"/>
      <c r="Z26" s="627"/>
      <c r="AA26" s="627">
        <f t="shared" si="1"/>
        <v>0</v>
      </c>
    </row>
    <row r="27" spans="1:27">
      <c r="A27" s="238">
        <v>2238</v>
      </c>
      <c r="B27" s="168">
        <v>103288</v>
      </c>
      <c r="C27" s="168" t="s">
        <v>548</v>
      </c>
      <c r="D27" s="168" t="s">
        <v>339</v>
      </c>
      <c r="E27" s="625" t="s">
        <v>539</v>
      </c>
      <c r="F27" s="625" t="s">
        <v>537</v>
      </c>
      <c r="G27" s="626">
        <v>0</v>
      </c>
      <c r="I27" s="627">
        <v>-238455.4800000001</v>
      </c>
      <c r="J27" s="627">
        <v>17017.650000000001</v>
      </c>
      <c r="K27" s="627">
        <f t="shared" si="0"/>
        <v>-221437.8300000001</v>
      </c>
      <c r="M27" s="627"/>
      <c r="O27" s="627">
        <v>0</v>
      </c>
      <c r="P27" s="627">
        <v>0</v>
      </c>
      <c r="Q27" s="628">
        <v>238455.48</v>
      </c>
      <c r="R27" s="627">
        <v>55192</v>
      </c>
      <c r="S27" s="627"/>
      <c r="T27" s="627"/>
      <c r="U27" s="627"/>
      <c r="V27" s="627"/>
      <c r="W27" s="627"/>
      <c r="X27" s="627"/>
      <c r="Y27" s="627"/>
      <c r="Z27" s="627"/>
      <c r="AA27" s="627">
        <f t="shared" si="1"/>
        <v>293647.48</v>
      </c>
    </row>
    <row r="28" spans="1:27">
      <c r="A28" s="238">
        <v>2236</v>
      </c>
      <c r="B28" s="168">
        <v>103286</v>
      </c>
      <c r="C28" s="168" t="s">
        <v>549</v>
      </c>
      <c r="D28" s="168" t="s">
        <v>340</v>
      </c>
      <c r="E28" s="625" t="s">
        <v>539</v>
      </c>
      <c r="F28" s="625" t="s">
        <v>537</v>
      </c>
      <c r="G28" s="626">
        <v>0</v>
      </c>
      <c r="I28" s="627">
        <v>306976.73000000056</v>
      </c>
      <c r="J28" s="627">
        <v>12958.300000000003</v>
      </c>
      <c r="K28" s="627">
        <f t="shared" si="0"/>
        <v>319935.03000000055</v>
      </c>
      <c r="M28" s="627"/>
      <c r="O28" s="627">
        <v>0</v>
      </c>
      <c r="P28" s="627">
        <v>0</v>
      </c>
      <c r="Q28" s="627">
        <v>0</v>
      </c>
      <c r="R28" s="627">
        <v>0</v>
      </c>
      <c r="S28" s="627"/>
      <c r="T28" s="627"/>
      <c r="U28" s="627"/>
      <c r="V28" s="627"/>
      <c r="W28" s="627"/>
      <c r="X28" s="627"/>
      <c r="Y28" s="627"/>
      <c r="Z28" s="627"/>
      <c r="AA28" s="627">
        <f t="shared" si="1"/>
        <v>0</v>
      </c>
    </row>
    <row r="29" spans="1:27">
      <c r="A29" s="238">
        <v>2465</v>
      </c>
      <c r="B29" s="168">
        <v>103391</v>
      </c>
      <c r="C29" s="168" t="s">
        <v>695</v>
      </c>
      <c r="D29" s="168" t="s">
        <v>485</v>
      </c>
      <c r="E29" s="625" t="s">
        <v>539</v>
      </c>
      <c r="F29" s="625" t="s">
        <v>537</v>
      </c>
      <c r="G29" s="626" t="s">
        <v>1017</v>
      </c>
      <c r="I29" s="627">
        <v>144626.78999999963</v>
      </c>
      <c r="J29" s="627">
        <v>17371.989999999998</v>
      </c>
      <c r="K29" s="627">
        <f t="shared" si="0"/>
        <v>161998.77999999962</v>
      </c>
      <c r="M29" s="627"/>
      <c r="O29" s="627">
        <v>0</v>
      </c>
      <c r="P29" s="627">
        <v>0</v>
      </c>
      <c r="Q29" s="627">
        <v>0</v>
      </c>
      <c r="R29" s="627">
        <v>0</v>
      </c>
      <c r="S29" s="627"/>
      <c r="T29" s="627"/>
      <c r="U29" s="627"/>
      <c r="V29" s="627"/>
      <c r="W29" s="627"/>
      <c r="X29" s="627"/>
      <c r="Y29" s="627"/>
      <c r="Z29" s="627"/>
      <c r="AA29" s="627">
        <f t="shared" si="1"/>
        <v>0</v>
      </c>
    </row>
    <row r="30" spans="1:27">
      <c r="A30" s="238">
        <v>4801</v>
      </c>
      <c r="B30" s="168">
        <v>103539</v>
      </c>
      <c r="C30" s="168" t="s">
        <v>550</v>
      </c>
      <c r="D30" s="168" t="s">
        <v>341</v>
      </c>
      <c r="E30" s="625" t="s">
        <v>543</v>
      </c>
      <c r="F30" s="625" t="s">
        <v>537</v>
      </c>
      <c r="G30" s="626">
        <v>0</v>
      </c>
      <c r="I30" s="627">
        <v>228168.13000000006</v>
      </c>
      <c r="J30" s="627">
        <v>0</v>
      </c>
      <c r="K30" s="627">
        <f t="shared" si="0"/>
        <v>228168.13000000006</v>
      </c>
      <c r="M30" s="627"/>
      <c r="O30" s="627">
        <v>0</v>
      </c>
      <c r="P30" s="627">
        <v>0</v>
      </c>
      <c r="Q30" s="627">
        <v>0</v>
      </c>
      <c r="R30" s="627">
        <v>0</v>
      </c>
      <c r="S30" s="627"/>
      <c r="T30" s="627"/>
      <c r="U30" s="627"/>
      <c r="V30" s="627"/>
      <c r="W30" s="627"/>
      <c r="X30" s="627"/>
      <c r="Y30" s="627"/>
      <c r="Z30" s="627"/>
      <c r="AA30" s="627">
        <f t="shared" si="1"/>
        <v>0</v>
      </c>
    </row>
    <row r="31" spans="1:27">
      <c r="A31" s="238">
        <v>1048</v>
      </c>
      <c r="B31" s="168">
        <v>103144</v>
      </c>
      <c r="C31" s="168" t="s">
        <v>617</v>
      </c>
      <c r="D31" s="168" t="s">
        <v>407</v>
      </c>
      <c r="E31" s="625" t="s">
        <v>536</v>
      </c>
      <c r="F31" s="625" t="s">
        <v>537</v>
      </c>
      <c r="G31" s="626" t="s">
        <v>1017</v>
      </c>
      <c r="I31" s="627">
        <v>196971.08000000066</v>
      </c>
      <c r="J31" s="627">
        <v>36877.43</v>
      </c>
      <c r="K31" s="627">
        <f t="shared" si="0"/>
        <v>233848.51000000065</v>
      </c>
      <c r="M31" s="627"/>
      <c r="O31" s="627">
        <v>0</v>
      </c>
      <c r="P31" s="627">
        <v>0</v>
      </c>
      <c r="Q31" s="627">
        <v>0</v>
      </c>
      <c r="R31" s="627">
        <v>0</v>
      </c>
      <c r="S31" s="627"/>
      <c r="T31" s="627"/>
      <c r="U31" s="627"/>
      <c r="V31" s="627"/>
      <c r="W31" s="627"/>
      <c r="X31" s="627"/>
      <c r="Y31" s="627"/>
      <c r="Z31" s="627"/>
      <c r="AA31" s="627">
        <f t="shared" si="1"/>
        <v>0</v>
      </c>
    </row>
    <row r="32" spans="1:27">
      <c r="A32" s="238">
        <v>2312</v>
      </c>
      <c r="B32" s="168">
        <v>103332</v>
      </c>
      <c r="C32" s="168" t="s">
        <v>551</v>
      </c>
      <c r="D32" s="168" t="s">
        <v>342</v>
      </c>
      <c r="E32" s="625" t="s">
        <v>539</v>
      </c>
      <c r="F32" s="625" t="s">
        <v>537</v>
      </c>
      <c r="G32" s="626">
        <v>0</v>
      </c>
      <c r="I32" s="627">
        <v>-338161.9600000002</v>
      </c>
      <c r="J32" s="627">
        <v>20443.61</v>
      </c>
      <c r="K32" s="627">
        <f t="shared" si="0"/>
        <v>-317718.35000000021</v>
      </c>
      <c r="M32" s="627"/>
      <c r="O32" s="627">
        <v>0</v>
      </c>
      <c r="P32" s="627">
        <v>0</v>
      </c>
      <c r="Q32" s="628">
        <v>338161.96</v>
      </c>
      <c r="R32" s="627">
        <v>0</v>
      </c>
      <c r="S32" s="627"/>
      <c r="T32" s="627"/>
      <c r="U32" s="627"/>
      <c r="V32" s="627"/>
      <c r="W32" s="627"/>
      <c r="X32" s="627"/>
      <c r="Y32" s="627"/>
      <c r="Z32" s="627"/>
      <c r="AA32" s="627">
        <f t="shared" si="1"/>
        <v>338161.96</v>
      </c>
    </row>
    <row r="33" spans="1:27">
      <c r="A33" s="238">
        <v>7051</v>
      </c>
      <c r="B33" s="168">
        <v>103626</v>
      </c>
      <c r="C33" s="168" t="s">
        <v>552</v>
      </c>
      <c r="D33" s="168" t="s">
        <v>343</v>
      </c>
      <c r="E33" s="625" t="s">
        <v>541</v>
      </c>
      <c r="F33" s="625" t="s">
        <v>537</v>
      </c>
      <c r="G33" s="626">
        <v>0</v>
      </c>
      <c r="I33" s="627">
        <v>1103640.2800000003</v>
      </c>
      <c r="J33" s="627">
        <v>2119</v>
      </c>
      <c r="K33" s="627">
        <f t="shared" si="0"/>
        <v>1105759.2800000003</v>
      </c>
      <c r="M33" s="627"/>
      <c r="O33" s="627">
        <v>0</v>
      </c>
      <c r="P33" s="627">
        <v>0</v>
      </c>
      <c r="Q33" s="627">
        <v>0</v>
      </c>
      <c r="R33" s="627">
        <v>0</v>
      </c>
      <c r="S33" s="627"/>
      <c r="T33" s="627"/>
      <c r="U33" s="627"/>
      <c r="V33" s="627"/>
      <c r="W33" s="627"/>
      <c r="X33" s="627"/>
      <c r="Y33" s="627"/>
      <c r="Z33" s="627"/>
      <c r="AA33" s="627">
        <f t="shared" si="1"/>
        <v>0</v>
      </c>
    </row>
    <row r="34" spans="1:27">
      <c r="A34" s="238">
        <v>2040</v>
      </c>
      <c r="B34" s="168">
        <v>103178</v>
      </c>
      <c r="C34" s="168" t="s">
        <v>696</v>
      </c>
      <c r="D34" s="168" t="s">
        <v>486</v>
      </c>
      <c r="E34" s="625" t="s">
        <v>539</v>
      </c>
      <c r="F34" s="625" t="s">
        <v>537</v>
      </c>
      <c r="G34" s="626" t="s">
        <v>1017</v>
      </c>
      <c r="I34" s="627">
        <v>296517.50999999978</v>
      </c>
      <c r="J34" s="627">
        <v>0</v>
      </c>
      <c r="K34" s="627">
        <f t="shared" si="0"/>
        <v>296517.50999999978</v>
      </c>
      <c r="M34" s="627"/>
      <c r="O34" s="627">
        <v>0</v>
      </c>
      <c r="P34" s="627">
        <v>0</v>
      </c>
      <c r="Q34" s="627">
        <v>0</v>
      </c>
      <c r="R34" s="627">
        <v>0</v>
      </c>
      <c r="S34" s="627"/>
      <c r="T34" s="627"/>
      <c r="U34" s="627"/>
      <c r="V34" s="627"/>
      <c r="W34" s="627"/>
      <c r="X34" s="627"/>
      <c r="Y34" s="627"/>
      <c r="Z34" s="627"/>
      <c r="AA34" s="627">
        <f t="shared" si="1"/>
        <v>0</v>
      </c>
    </row>
    <row r="35" spans="1:27">
      <c r="A35" s="238">
        <v>2251</v>
      </c>
      <c r="B35" s="168">
        <v>103298</v>
      </c>
      <c r="C35" s="168" t="s">
        <v>553</v>
      </c>
      <c r="D35" s="168" t="s">
        <v>344</v>
      </c>
      <c r="E35" s="625" t="s">
        <v>539</v>
      </c>
      <c r="F35" s="625" t="s">
        <v>537</v>
      </c>
      <c r="G35" s="626">
        <v>0</v>
      </c>
      <c r="I35" s="627">
        <v>338588.01999999781</v>
      </c>
      <c r="J35" s="627">
        <v>17030.799999999996</v>
      </c>
      <c r="K35" s="627">
        <f t="shared" si="0"/>
        <v>355618.8199999978</v>
      </c>
      <c r="M35" s="627"/>
      <c r="O35" s="627">
        <v>0</v>
      </c>
      <c r="P35" s="627">
        <v>0</v>
      </c>
      <c r="Q35" s="627">
        <v>0</v>
      </c>
      <c r="R35" s="627">
        <v>0</v>
      </c>
      <c r="S35" s="627"/>
      <c r="T35" s="627"/>
      <c r="U35" s="627"/>
      <c r="V35" s="627"/>
      <c r="W35" s="627"/>
      <c r="X35" s="627"/>
      <c r="Y35" s="627"/>
      <c r="Z35" s="627"/>
      <c r="AA35" s="627">
        <f t="shared" si="1"/>
        <v>0</v>
      </c>
    </row>
    <row r="36" spans="1:27">
      <c r="A36" s="238">
        <v>3002</v>
      </c>
      <c r="B36" s="168">
        <v>103397</v>
      </c>
      <c r="C36" s="168" t="s">
        <v>554</v>
      </c>
      <c r="D36" s="168" t="s">
        <v>345</v>
      </c>
      <c r="E36" s="625" t="s">
        <v>539</v>
      </c>
      <c r="F36" s="625" t="s">
        <v>537</v>
      </c>
      <c r="G36" s="626">
        <v>0</v>
      </c>
      <c r="I36" s="627">
        <v>256325.70999999985</v>
      </c>
      <c r="J36" s="627">
        <v>40180.06</v>
      </c>
      <c r="K36" s="627">
        <f t="shared" si="0"/>
        <v>296505.76999999984</v>
      </c>
      <c r="M36" s="627"/>
      <c r="O36" s="627">
        <v>0</v>
      </c>
      <c r="P36" s="627">
        <v>0</v>
      </c>
      <c r="Q36" s="627">
        <v>0</v>
      </c>
      <c r="R36" s="627">
        <v>0</v>
      </c>
      <c r="S36" s="627"/>
      <c r="T36" s="627"/>
      <c r="U36" s="627"/>
      <c r="V36" s="627"/>
      <c r="W36" s="627"/>
      <c r="X36" s="627"/>
      <c r="Y36" s="627"/>
      <c r="Z36" s="627"/>
      <c r="AA36" s="627">
        <f t="shared" si="1"/>
        <v>0</v>
      </c>
    </row>
    <row r="37" spans="1:27">
      <c r="A37" s="238">
        <v>3319</v>
      </c>
      <c r="B37" s="168">
        <v>103423</v>
      </c>
      <c r="C37" s="168" t="s">
        <v>555</v>
      </c>
      <c r="D37" s="168" t="s">
        <v>346</v>
      </c>
      <c r="E37" s="625" t="s">
        <v>539</v>
      </c>
      <c r="F37" s="625" t="s">
        <v>537</v>
      </c>
      <c r="G37" s="626">
        <v>0</v>
      </c>
      <c r="I37" s="627">
        <v>-116256.72000000047</v>
      </c>
      <c r="J37" s="627">
        <v>0</v>
      </c>
      <c r="K37" s="627">
        <f t="shared" si="0"/>
        <v>-116256.72000000047</v>
      </c>
      <c r="M37" s="627"/>
      <c r="O37" s="627">
        <v>0</v>
      </c>
      <c r="P37" s="627">
        <v>0</v>
      </c>
      <c r="Q37" s="628">
        <v>116256.72</v>
      </c>
      <c r="R37" s="627">
        <v>0</v>
      </c>
      <c r="S37" s="627"/>
      <c r="T37" s="627"/>
      <c r="U37" s="627"/>
      <c r="V37" s="627"/>
      <c r="W37" s="627"/>
      <c r="X37" s="627"/>
      <c r="Y37" s="627"/>
      <c r="Z37" s="627"/>
      <c r="AA37" s="627">
        <f t="shared" si="1"/>
        <v>116256.72</v>
      </c>
    </row>
    <row r="38" spans="1:27">
      <c r="A38" s="238">
        <v>1100</v>
      </c>
      <c r="B38" s="168">
        <v>103146</v>
      </c>
      <c r="C38" s="168" t="s">
        <v>697</v>
      </c>
      <c r="D38" s="168" t="s">
        <v>487</v>
      </c>
      <c r="E38" s="625" t="s">
        <v>698</v>
      </c>
      <c r="F38" s="625" t="s">
        <v>537</v>
      </c>
      <c r="G38" s="626" t="s">
        <v>1017</v>
      </c>
      <c r="I38" s="627">
        <v>1082977.4099999464</v>
      </c>
      <c r="J38" s="627">
        <v>141457.74</v>
      </c>
      <c r="K38" s="627">
        <f t="shared" si="0"/>
        <v>1224435.1499999464</v>
      </c>
      <c r="M38" s="627"/>
      <c r="O38" s="627">
        <v>0</v>
      </c>
      <c r="P38" s="627">
        <v>0</v>
      </c>
      <c r="Q38" s="627">
        <v>0</v>
      </c>
      <c r="R38" s="627">
        <v>0</v>
      </c>
      <c r="S38" s="627"/>
      <c r="T38" s="627"/>
      <c r="U38" s="627"/>
      <c r="V38" s="627"/>
      <c r="W38" s="627"/>
      <c r="X38" s="627"/>
      <c r="Y38" s="627"/>
      <c r="Z38" s="627"/>
      <c r="AA38" s="627">
        <f t="shared" si="1"/>
        <v>0</v>
      </c>
    </row>
    <row r="39" spans="1:27">
      <c r="A39" s="238">
        <v>3432</v>
      </c>
      <c r="B39" s="168">
        <v>134840</v>
      </c>
      <c r="C39" s="168" t="s">
        <v>699</v>
      </c>
      <c r="D39" s="168" t="s">
        <v>488</v>
      </c>
      <c r="E39" s="625" t="s">
        <v>539</v>
      </c>
      <c r="F39" s="625" t="s">
        <v>537</v>
      </c>
      <c r="G39" s="626" t="s">
        <v>1017</v>
      </c>
      <c r="I39" s="627">
        <v>684142.88999999687</v>
      </c>
      <c r="J39" s="627">
        <v>386.75</v>
      </c>
      <c r="K39" s="627">
        <f t="shared" si="0"/>
        <v>684529.63999999687</v>
      </c>
      <c r="M39" s="627"/>
      <c r="O39" s="627">
        <v>0</v>
      </c>
      <c r="P39" s="627">
        <v>0</v>
      </c>
      <c r="Q39" s="627">
        <v>0</v>
      </c>
      <c r="R39" s="627">
        <v>0</v>
      </c>
      <c r="S39" s="627"/>
      <c r="T39" s="627"/>
      <c r="U39" s="627"/>
      <c r="V39" s="627"/>
      <c r="W39" s="627"/>
      <c r="X39" s="627"/>
      <c r="Y39" s="627"/>
      <c r="Z39" s="627"/>
      <c r="AA39" s="627">
        <f t="shared" si="1"/>
        <v>0</v>
      </c>
    </row>
    <row r="40" spans="1:27">
      <c r="A40" s="238">
        <v>2289</v>
      </c>
      <c r="B40" s="168">
        <v>103315</v>
      </c>
      <c r="C40" s="168" t="s">
        <v>618</v>
      </c>
      <c r="D40" s="168" t="s">
        <v>408</v>
      </c>
      <c r="E40" s="625" t="s">
        <v>539</v>
      </c>
      <c r="F40" s="625" t="s">
        <v>537</v>
      </c>
      <c r="G40" s="626" t="s">
        <v>1017</v>
      </c>
      <c r="I40" s="627">
        <v>17216.229999998824</v>
      </c>
      <c r="J40" s="627">
        <v>7659.3500000000022</v>
      </c>
      <c r="K40" s="627">
        <f t="shared" si="0"/>
        <v>24875.579999998827</v>
      </c>
      <c r="M40" s="627"/>
      <c r="O40" s="627">
        <v>0</v>
      </c>
      <c r="P40" s="627">
        <v>0</v>
      </c>
      <c r="Q40" s="627">
        <v>0</v>
      </c>
      <c r="R40" s="627">
        <v>0</v>
      </c>
      <c r="S40" s="627"/>
      <c r="T40" s="627"/>
      <c r="U40" s="627"/>
      <c r="V40" s="627"/>
      <c r="W40" s="627"/>
      <c r="X40" s="627"/>
      <c r="Y40" s="627"/>
      <c r="Z40" s="627"/>
      <c r="AA40" s="627">
        <f t="shared" si="1"/>
        <v>0</v>
      </c>
    </row>
    <row r="41" spans="1:27">
      <c r="A41" s="238">
        <v>2185</v>
      </c>
      <c r="B41" s="168">
        <v>103263</v>
      </c>
      <c r="C41" s="168" t="s">
        <v>700</v>
      </c>
      <c r="D41" s="168" t="s">
        <v>489</v>
      </c>
      <c r="E41" s="625" t="s">
        <v>539</v>
      </c>
      <c r="F41" s="625" t="s">
        <v>537</v>
      </c>
      <c r="G41" s="626" t="s">
        <v>1017</v>
      </c>
      <c r="I41" s="627">
        <v>111403.51999999865</v>
      </c>
      <c r="J41" s="627">
        <v>0</v>
      </c>
      <c r="K41" s="627">
        <f t="shared" si="0"/>
        <v>111403.51999999865</v>
      </c>
      <c r="M41" s="627"/>
      <c r="O41" s="627">
        <v>0</v>
      </c>
      <c r="P41" s="627">
        <v>0</v>
      </c>
      <c r="Q41" s="627">
        <v>0</v>
      </c>
      <c r="R41" s="627">
        <v>0</v>
      </c>
      <c r="S41" s="627"/>
      <c r="T41" s="627"/>
      <c r="U41" s="627"/>
      <c r="V41" s="627"/>
      <c r="W41" s="627"/>
      <c r="X41" s="627"/>
      <c r="Y41" s="627"/>
      <c r="Z41" s="627"/>
      <c r="AA41" s="627">
        <f t="shared" si="1"/>
        <v>0</v>
      </c>
    </row>
    <row r="42" spans="1:27">
      <c r="A42" s="238">
        <v>5416</v>
      </c>
      <c r="B42" s="168">
        <v>103563</v>
      </c>
      <c r="C42" s="168" t="s">
        <v>556</v>
      </c>
      <c r="D42" s="168" t="s">
        <v>347</v>
      </c>
      <c r="E42" s="625" t="s">
        <v>543</v>
      </c>
      <c r="F42" s="625" t="s">
        <v>537</v>
      </c>
      <c r="G42" s="626">
        <v>0</v>
      </c>
      <c r="I42" s="627">
        <v>491994.42000000691</v>
      </c>
      <c r="J42" s="627">
        <v>6558.1699999999983</v>
      </c>
      <c r="K42" s="627">
        <f t="shared" si="0"/>
        <v>498552.59000000689</v>
      </c>
      <c r="M42" s="627"/>
      <c r="O42" s="627">
        <v>0</v>
      </c>
      <c r="P42" s="627">
        <v>0</v>
      </c>
      <c r="Q42" s="627">
        <v>0</v>
      </c>
      <c r="R42" s="627">
        <v>0</v>
      </c>
      <c r="S42" s="627"/>
      <c r="T42" s="627"/>
      <c r="U42" s="627"/>
      <c r="V42" s="627"/>
      <c r="W42" s="627"/>
      <c r="X42" s="627"/>
      <c r="Y42" s="627"/>
      <c r="Z42" s="627"/>
      <c r="AA42" s="627">
        <f t="shared" si="1"/>
        <v>0</v>
      </c>
    </row>
    <row r="43" spans="1:27">
      <c r="A43" s="238">
        <v>2054</v>
      </c>
      <c r="B43" s="168">
        <v>103189</v>
      </c>
      <c r="C43" s="168" t="s">
        <v>557</v>
      </c>
      <c r="D43" s="168" t="s">
        <v>348</v>
      </c>
      <c r="E43" s="625" t="s">
        <v>539</v>
      </c>
      <c r="F43" s="625" t="s">
        <v>537</v>
      </c>
      <c r="G43" s="626">
        <v>0</v>
      </c>
      <c r="I43" s="627">
        <v>136206.45000000054</v>
      </c>
      <c r="J43" s="627">
        <v>42930.64</v>
      </c>
      <c r="K43" s="627">
        <f t="shared" si="0"/>
        <v>179137.09000000055</v>
      </c>
      <c r="M43" s="627"/>
      <c r="O43" s="627">
        <v>0</v>
      </c>
      <c r="P43" s="627">
        <v>0</v>
      </c>
      <c r="Q43" s="627">
        <v>0</v>
      </c>
      <c r="R43" s="627">
        <v>0</v>
      </c>
      <c r="S43" s="627"/>
      <c r="T43" s="627"/>
      <c r="U43" s="627"/>
      <c r="V43" s="627"/>
      <c r="W43" s="627"/>
      <c r="X43" s="627"/>
      <c r="Y43" s="627"/>
      <c r="Z43" s="627"/>
      <c r="AA43" s="627">
        <f t="shared" si="1"/>
        <v>0</v>
      </c>
    </row>
    <row r="44" spans="1:27">
      <c r="A44" s="238">
        <v>2053</v>
      </c>
      <c r="B44" s="168">
        <v>103188</v>
      </c>
      <c r="C44" s="168" t="s">
        <v>558</v>
      </c>
      <c r="D44" s="168" t="s">
        <v>349</v>
      </c>
      <c r="E44" s="625" t="s">
        <v>539</v>
      </c>
      <c r="F44" s="625" t="s">
        <v>537</v>
      </c>
      <c r="G44" s="626">
        <v>0</v>
      </c>
      <c r="I44" s="627">
        <v>193096.06000000046</v>
      </c>
      <c r="J44" s="627">
        <v>35814.57</v>
      </c>
      <c r="K44" s="627">
        <f t="shared" si="0"/>
        <v>228910.63000000047</v>
      </c>
      <c r="M44" s="627"/>
      <c r="O44" s="627">
        <v>0</v>
      </c>
      <c r="P44" s="627">
        <v>0</v>
      </c>
      <c r="Q44" s="627">
        <v>0</v>
      </c>
      <c r="R44" s="627">
        <v>0</v>
      </c>
      <c r="S44" s="627"/>
      <c r="T44" s="627"/>
      <c r="U44" s="627"/>
      <c r="V44" s="627"/>
      <c r="W44" s="627"/>
      <c r="X44" s="627"/>
      <c r="Y44" s="627"/>
      <c r="Z44" s="627"/>
      <c r="AA44" s="627">
        <f t="shared" si="1"/>
        <v>0</v>
      </c>
    </row>
    <row r="45" spans="1:27">
      <c r="A45" s="238">
        <v>3320</v>
      </c>
      <c r="B45" s="168">
        <v>103424</v>
      </c>
      <c r="C45" s="168" t="s">
        <v>619</v>
      </c>
      <c r="D45" s="168" t="s">
        <v>409</v>
      </c>
      <c r="E45" s="625" t="s">
        <v>539</v>
      </c>
      <c r="F45" s="625" t="s">
        <v>537</v>
      </c>
      <c r="G45" s="626" t="s">
        <v>1017</v>
      </c>
      <c r="I45" s="627">
        <v>1162447.1699999988</v>
      </c>
      <c r="J45" s="627">
        <v>0</v>
      </c>
      <c r="K45" s="627">
        <f t="shared" si="0"/>
        <v>1162447.1699999988</v>
      </c>
      <c r="M45" s="627"/>
      <c r="O45" s="627">
        <v>0</v>
      </c>
      <c r="P45" s="627">
        <v>0</v>
      </c>
      <c r="Q45" s="627">
        <v>0</v>
      </c>
      <c r="R45" s="627">
        <v>0</v>
      </c>
      <c r="S45" s="627"/>
      <c r="T45" s="627"/>
      <c r="U45" s="627"/>
      <c r="V45" s="627"/>
      <c r="W45" s="627"/>
      <c r="X45" s="627"/>
      <c r="Y45" s="627"/>
      <c r="Z45" s="627"/>
      <c r="AA45" s="627">
        <f t="shared" si="1"/>
        <v>0</v>
      </c>
    </row>
    <row r="46" spans="1:27">
      <c r="A46" s="238">
        <v>2055</v>
      </c>
      <c r="B46" s="168">
        <v>103190</v>
      </c>
      <c r="C46" s="168" t="s">
        <v>559</v>
      </c>
      <c r="D46" s="168" t="s">
        <v>350</v>
      </c>
      <c r="E46" s="625" t="s">
        <v>539</v>
      </c>
      <c r="F46" s="625" t="s">
        <v>537</v>
      </c>
      <c r="G46" s="626">
        <v>0</v>
      </c>
      <c r="I46" s="627">
        <v>432763.37000000017</v>
      </c>
      <c r="J46" s="627">
        <v>0</v>
      </c>
      <c r="K46" s="627">
        <f t="shared" si="0"/>
        <v>432763.37000000017</v>
      </c>
      <c r="M46" s="627"/>
      <c r="O46" s="627">
        <v>0</v>
      </c>
      <c r="P46" s="627">
        <v>0</v>
      </c>
      <c r="Q46" s="627">
        <v>0</v>
      </c>
      <c r="R46" s="627">
        <v>0</v>
      </c>
      <c r="S46" s="627"/>
      <c r="T46" s="627"/>
      <c r="U46" s="627"/>
      <c r="V46" s="627"/>
      <c r="W46" s="627"/>
      <c r="X46" s="627"/>
      <c r="Y46" s="627"/>
      <c r="Z46" s="627"/>
      <c r="AA46" s="627">
        <f t="shared" si="1"/>
        <v>0</v>
      </c>
    </row>
    <row r="47" spans="1:27">
      <c r="A47" s="238">
        <v>2454</v>
      </c>
      <c r="B47" s="168">
        <v>103381</v>
      </c>
      <c r="C47" s="168" t="s">
        <v>702</v>
      </c>
      <c r="D47" s="168" t="s">
        <v>491</v>
      </c>
      <c r="E47" s="625" t="s">
        <v>539</v>
      </c>
      <c r="F47" s="625" t="s">
        <v>537</v>
      </c>
      <c r="G47" s="626" t="s">
        <v>1017</v>
      </c>
      <c r="I47" s="627">
        <v>483826.00000000029</v>
      </c>
      <c r="J47" s="627">
        <v>16647.25</v>
      </c>
      <c r="K47" s="627">
        <f t="shared" si="0"/>
        <v>500473.25000000029</v>
      </c>
      <c r="M47" s="627"/>
      <c r="O47" s="627">
        <v>0</v>
      </c>
      <c r="P47" s="627">
        <v>0</v>
      </c>
      <c r="Q47" s="627">
        <v>0</v>
      </c>
      <c r="R47" s="627">
        <v>0</v>
      </c>
      <c r="S47" s="627"/>
      <c r="T47" s="627"/>
      <c r="U47" s="627"/>
      <c r="V47" s="627"/>
      <c r="W47" s="627"/>
      <c r="X47" s="627"/>
      <c r="Y47" s="627"/>
      <c r="Z47" s="627"/>
      <c r="AA47" s="627">
        <f t="shared" si="1"/>
        <v>0</v>
      </c>
    </row>
    <row r="48" spans="1:27">
      <c r="A48" s="238">
        <v>3321</v>
      </c>
      <c r="B48" s="168">
        <v>103425</v>
      </c>
      <c r="C48" s="168" t="s">
        <v>703</v>
      </c>
      <c r="D48" s="168" t="s">
        <v>492</v>
      </c>
      <c r="E48" s="625" t="s">
        <v>539</v>
      </c>
      <c r="F48" s="625" t="s">
        <v>537</v>
      </c>
      <c r="G48" s="626" t="s">
        <v>1017</v>
      </c>
      <c r="I48" s="627">
        <v>347111.54599999939</v>
      </c>
      <c r="J48" s="627">
        <v>0</v>
      </c>
      <c r="K48" s="627">
        <f t="shared" si="0"/>
        <v>347111.54599999939</v>
      </c>
      <c r="M48" s="627"/>
      <c r="O48" s="627">
        <v>0</v>
      </c>
      <c r="P48" s="627">
        <v>0</v>
      </c>
      <c r="Q48" s="627">
        <v>0</v>
      </c>
      <c r="R48" s="627">
        <v>0</v>
      </c>
      <c r="S48" s="627"/>
      <c r="T48" s="627"/>
      <c r="U48" s="627"/>
      <c r="V48" s="627"/>
      <c r="W48" s="627"/>
      <c r="X48" s="627"/>
      <c r="Y48" s="627"/>
      <c r="Z48" s="627"/>
      <c r="AA48" s="627">
        <f t="shared" si="1"/>
        <v>0</v>
      </c>
    </row>
    <row r="49" spans="1:27">
      <c r="A49" s="238">
        <v>1026</v>
      </c>
      <c r="B49" s="168">
        <v>103139</v>
      </c>
      <c r="C49" s="168" t="s">
        <v>620</v>
      </c>
      <c r="D49" s="168" t="s">
        <v>410</v>
      </c>
      <c r="E49" s="625" t="s">
        <v>536</v>
      </c>
      <c r="F49" s="625" t="s">
        <v>537</v>
      </c>
      <c r="G49" s="626" t="s">
        <v>1016</v>
      </c>
      <c r="I49" s="627">
        <v>354863</v>
      </c>
      <c r="J49" s="627">
        <v>17313</v>
      </c>
      <c r="K49" s="627">
        <f t="shared" si="0"/>
        <v>372176</v>
      </c>
      <c r="M49" s="627"/>
      <c r="O49" s="627">
        <v>0</v>
      </c>
      <c r="P49" s="627">
        <v>0</v>
      </c>
      <c r="Q49" s="627">
        <v>0</v>
      </c>
      <c r="R49" s="627">
        <v>0</v>
      </c>
      <c r="S49" s="627"/>
      <c r="T49" s="627"/>
      <c r="U49" s="627"/>
      <c r="V49" s="627"/>
      <c r="W49" s="627"/>
      <c r="X49" s="627"/>
      <c r="Y49" s="627"/>
      <c r="Z49" s="627"/>
      <c r="AA49" s="627">
        <f t="shared" si="1"/>
        <v>0</v>
      </c>
    </row>
    <row r="50" spans="1:27">
      <c r="A50" s="238">
        <v>2294</v>
      </c>
      <c r="B50" s="168">
        <v>103318</v>
      </c>
      <c r="C50" s="168" t="s">
        <v>621</v>
      </c>
      <c r="D50" s="168" t="s">
        <v>411</v>
      </c>
      <c r="E50" s="625" t="s">
        <v>539</v>
      </c>
      <c r="F50" s="625" t="s">
        <v>537</v>
      </c>
      <c r="G50" s="626" t="s">
        <v>1016</v>
      </c>
      <c r="I50" s="627">
        <v>624852.93000000017</v>
      </c>
      <c r="J50" s="627">
        <v>13520</v>
      </c>
      <c r="K50" s="627">
        <f t="shared" si="0"/>
        <v>638372.93000000017</v>
      </c>
      <c r="M50" s="627"/>
      <c r="O50" s="627">
        <v>0</v>
      </c>
      <c r="P50" s="627">
        <v>0</v>
      </c>
      <c r="Q50" s="627">
        <v>0</v>
      </c>
      <c r="R50" s="627">
        <v>0</v>
      </c>
      <c r="S50" s="627"/>
      <c r="T50" s="627"/>
      <c r="U50" s="627"/>
      <c r="V50" s="627"/>
      <c r="W50" s="627"/>
      <c r="X50" s="627"/>
      <c r="Y50" s="627"/>
      <c r="Z50" s="627"/>
      <c r="AA50" s="627">
        <f t="shared" si="1"/>
        <v>0</v>
      </c>
    </row>
    <row r="51" spans="1:27">
      <c r="A51" s="238">
        <v>2486</v>
      </c>
      <c r="B51" s="168">
        <v>133759</v>
      </c>
      <c r="C51" s="168" t="s">
        <v>560</v>
      </c>
      <c r="D51" s="168" t="s">
        <v>351</v>
      </c>
      <c r="E51" s="625" t="s">
        <v>539</v>
      </c>
      <c r="F51" s="625" t="s">
        <v>537</v>
      </c>
      <c r="G51" s="626">
        <v>0</v>
      </c>
      <c r="I51" s="627">
        <v>279307.1100000001</v>
      </c>
      <c r="J51" s="627">
        <v>4965.2000000000007</v>
      </c>
      <c r="K51" s="627">
        <f t="shared" si="0"/>
        <v>284272.31000000011</v>
      </c>
      <c r="M51" s="627"/>
      <c r="O51" s="627">
        <v>0</v>
      </c>
      <c r="P51" s="627">
        <v>0</v>
      </c>
      <c r="Q51" s="627">
        <v>0</v>
      </c>
      <c r="R51" s="627">
        <v>0</v>
      </c>
      <c r="S51" s="627"/>
      <c r="T51" s="627"/>
      <c r="U51" s="627"/>
      <c r="V51" s="627"/>
      <c r="W51" s="627"/>
      <c r="X51" s="627"/>
      <c r="Y51" s="627"/>
      <c r="Z51" s="627"/>
      <c r="AA51" s="627">
        <f t="shared" si="1"/>
        <v>0</v>
      </c>
    </row>
    <row r="52" spans="1:27">
      <c r="A52" s="238">
        <v>3435</v>
      </c>
      <c r="B52" s="168">
        <v>131920</v>
      </c>
      <c r="C52" s="168" t="s">
        <v>704</v>
      </c>
      <c r="D52" s="168" t="s">
        <v>493</v>
      </c>
      <c r="E52" s="625" t="s">
        <v>539</v>
      </c>
      <c r="F52" s="625" t="s">
        <v>537</v>
      </c>
      <c r="G52" s="626" t="s">
        <v>1017</v>
      </c>
      <c r="I52" s="627">
        <v>158198.56000000075</v>
      </c>
      <c r="J52" s="627">
        <v>11219.919999999995</v>
      </c>
      <c r="K52" s="627">
        <f t="shared" si="0"/>
        <v>169418.48000000074</v>
      </c>
      <c r="M52" s="627"/>
      <c r="O52" s="627">
        <v>0</v>
      </c>
      <c r="P52" s="627">
        <v>0</v>
      </c>
      <c r="Q52" s="627">
        <v>0</v>
      </c>
      <c r="R52" s="627">
        <v>0</v>
      </c>
      <c r="S52" s="627"/>
      <c r="T52" s="627"/>
      <c r="U52" s="627"/>
      <c r="V52" s="627"/>
      <c r="W52" s="627"/>
      <c r="X52" s="627"/>
      <c r="Y52" s="627"/>
      <c r="Z52" s="627"/>
      <c r="AA52" s="627">
        <f t="shared" si="1"/>
        <v>0</v>
      </c>
    </row>
    <row r="53" spans="1:27">
      <c r="A53" s="238">
        <v>7050</v>
      </c>
      <c r="B53" s="168">
        <v>103625</v>
      </c>
      <c r="C53" s="168" t="s">
        <v>705</v>
      </c>
      <c r="D53" s="168" t="s">
        <v>494</v>
      </c>
      <c r="E53" s="625" t="s">
        <v>541</v>
      </c>
      <c r="F53" s="625" t="s">
        <v>537</v>
      </c>
      <c r="G53" s="626" t="s">
        <v>1016</v>
      </c>
      <c r="I53" s="627">
        <v>900749.02000001026</v>
      </c>
      <c r="J53" s="627">
        <v>14690.21</v>
      </c>
      <c r="K53" s="627">
        <f t="shared" si="0"/>
        <v>915439.23000001023</v>
      </c>
      <c r="M53" s="627"/>
      <c r="O53" s="627">
        <v>0</v>
      </c>
      <c r="P53" s="627">
        <v>0</v>
      </c>
      <c r="Q53" s="627">
        <v>0</v>
      </c>
      <c r="R53" s="627">
        <v>0</v>
      </c>
      <c r="S53" s="627"/>
      <c r="T53" s="627"/>
      <c r="U53" s="627"/>
      <c r="V53" s="627"/>
      <c r="W53" s="627"/>
      <c r="X53" s="627"/>
      <c r="Y53" s="627"/>
      <c r="Z53" s="627"/>
      <c r="AA53" s="627">
        <f t="shared" si="1"/>
        <v>0</v>
      </c>
    </row>
    <row r="54" spans="1:27">
      <c r="A54" s="238">
        <v>1006</v>
      </c>
      <c r="B54" s="168">
        <v>103122</v>
      </c>
      <c r="C54" s="168" t="s">
        <v>622</v>
      </c>
      <c r="D54" s="168" t="s">
        <v>412</v>
      </c>
      <c r="E54" s="625" t="s">
        <v>536</v>
      </c>
      <c r="F54" s="625" t="s">
        <v>537</v>
      </c>
      <c r="G54" s="626" t="s">
        <v>1017</v>
      </c>
      <c r="I54" s="627">
        <v>155120.17000000016</v>
      </c>
      <c r="J54" s="627">
        <v>8347.0000000000036</v>
      </c>
      <c r="K54" s="627">
        <f t="shared" si="0"/>
        <v>163467.17000000016</v>
      </c>
      <c r="M54" s="627"/>
      <c r="O54" s="627">
        <v>0</v>
      </c>
      <c r="P54" s="627">
        <v>0</v>
      </c>
      <c r="Q54" s="627">
        <v>0</v>
      </c>
      <c r="R54" s="627">
        <v>0</v>
      </c>
      <c r="S54" s="627"/>
      <c r="T54" s="627"/>
      <c r="U54" s="627"/>
      <c r="V54" s="627"/>
      <c r="W54" s="627"/>
      <c r="X54" s="627"/>
      <c r="Y54" s="627"/>
      <c r="Z54" s="627"/>
      <c r="AA54" s="627">
        <f t="shared" si="1"/>
        <v>0</v>
      </c>
    </row>
    <row r="55" spans="1:27">
      <c r="A55" s="238">
        <v>2081</v>
      </c>
      <c r="B55" s="168">
        <v>103201</v>
      </c>
      <c r="C55" s="168" t="s">
        <v>706</v>
      </c>
      <c r="D55" s="168" t="s">
        <v>495</v>
      </c>
      <c r="E55" s="625" t="s">
        <v>539</v>
      </c>
      <c r="F55" s="625" t="s">
        <v>537</v>
      </c>
      <c r="G55" s="626" t="s">
        <v>1017</v>
      </c>
      <c r="I55" s="627">
        <v>53410.930000002991</v>
      </c>
      <c r="J55" s="627">
        <v>40011.79</v>
      </c>
      <c r="K55" s="627">
        <f t="shared" si="0"/>
        <v>93422.720000002999</v>
      </c>
      <c r="M55" s="627"/>
      <c r="O55" s="627">
        <v>0</v>
      </c>
      <c r="P55" s="627">
        <v>0</v>
      </c>
      <c r="Q55" s="627">
        <v>0</v>
      </c>
      <c r="R55" s="627">
        <v>0</v>
      </c>
      <c r="S55" s="627"/>
      <c r="T55" s="627"/>
      <c r="U55" s="627"/>
      <c r="V55" s="627"/>
      <c r="W55" s="627"/>
      <c r="X55" s="627"/>
      <c r="Y55" s="627"/>
      <c r="Z55" s="627"/>
      <c r="AA55" s="627">
        <f t="shared" si="1"/>
        <v>0</v>
      </c>
    </row>
    <row r="56" spans="1:27">
      <c r="A56" s="238">
        <v>2296</v>
      </c>
      <c r="B56" s="168">
        <v>103320</v>
      </c>
      <c r="C56" s="168" t="s">
        <v>561</v>
      </c>
      <c r="D56" s="168" t="s">
        <v>352</v>
      </c>
      <c r="E56" s="625" t="s">
        <v>539</v>
      </c>
      <c r="F56" s="625" t="s">
        <v>798</v>
      </c>
      <c r="G56" s="626">
        <v>0</v>
      </c>
      <c r="I56" s="627">
        <v>314590.01999999932</v>
      </c>
      <c r="J56" s="627">
        <v>20627.240000000002</v>
      </c>
      <c r="K56" s="627">
        <f t="shared" si="0"/>
        <v>335217.25999999931</v>
      </c>
      <c r="M56" s="627"/>
      <c r="O56" s="627">
        <v>0</v>
      </c>
      <c r="P56" s="627">
        <v>0</v>
      </c>
      <c r="Q56" s="627">
        <v>0</v>
      </c>
      <c r="R56" s="627">
        <v>0</v>
      </c>
      <c r="S56" s="627"/>
      <c r="T56" s="627"/>
      <c r="U56" s="627"/>
      <c r="V56" s="627"/>
      <c r="W56" s="627"/>
      <c r="X56" s="627"/>
      <c r="Y56" s="627"/>
      <c r="Z56" s="627"/>
      <c r="AA56" s="627">
        <f t="shared" si="1"/>
        <v>0</v>
      </c>
    </row>
    <row r="57" spans="1:27">
      <c r="A57" s="238">
        <v>1015</v>
      </c>
      <c r="B57" s="168">
        <v>103128</v>
      </c>
      <c r="C57" s="168" t="s">
        <v>624</v>
      </c>
      <c r="D57" s="168" t="s">
        <v>414</v>
      </c>
      <c r="E57" s="625" t="s">
        <v>536</v>
      </c>
      <c r="F57" s="625" t="s">
        <v>537</v>
      </c>
      <c r="G57" s="626" t="s">
        <v>1017</v>
      </c>
      <c r="I57" s="627">
        <v>215031.71999999962</v>
      </c>
      <c r="J57" s="627">
        <v>17189.25</v>
      </c>
      <c r="K57" s="627">
        <f t="shared" si="0"/>
        <v>232220.96999999962</v>
      </c>
      <c r="M57" s="627"/>
      <c r="O57" s="627">
        <v>0</v>
      </c>
      <c r="P57" s="627">
        <v>0</v>
      </c>
      <c r="Q57" s="627">
        <v>0</v>
      </c>
      <c r="R57" s="627">
        <v>0</v>
      </c>
      <c r="S57" s="627"/>
      <c r="T57" s="627"/>
      <c r="U57" s="627"/>
      <c r="V57" s="627"/>
      <c r="W57" s="627"/>
      <c r="X57" s="627"/>
      <c r="Y57" s="627"/>
      <c r="Z57" s="627"/>
      <c r="AA57" s="627">
        <f t="shared" si="1"/>
        <v>0</v>
      </c>
    </row>
    <row r="58" spans="1:27">
      <c r="A58" s="238">
        <v>1022</v>
      </c>
      <c r="B58" s="168">
        <v>103135</v>
      </c>
      <c r="C58" s="168" t="s">
        <v>625</v>
      </c>
      <c r="D58" s="168" t="s">
        <v>415</v>
      </c>
      <c r="E58" s="625" t="s">
        <v>536</v>
      </c>
      <c r="F58" s="625" t="s">
        <v>537</v>
      </c>
      <c r="G58" s="626" t="s">
        <v>1016</v>
      </c>
      <c r="I58" s="627">
        <v>349107.07999999984</v>
      </c>
      <c r="J58" s="627">
        <v>11925.339999999997</v>
      </c>
      <c r="K58" s="627">
        <f t="shared" si="0"/>
        <v>361032.41999999981</v>
      </c>
      <c r="M58" s="627"/>
      <c r="O58" s="627">
        <v>0</v>
      </c>
      <c r="P58" s="627">
        <v>0</v>
      </c>
      <c r="Q58" s="627">
        <v>0</v>
      </c>
      <c r="R58" s="627">
        <v>0</v>
      </c>
      <c r="S58" s="627"/>
      <c r="T58" s="627"/>
      <c r="U58" s="627"/>
      <c r="V58" s="627"/>
      <c r="W58" s="627"/>
      <c r="X58" s="627"/>
      <c r="Y58" s="627"/>
      <c r="Z58" s="627"/>
      <c r="AA58" s="627">
        <f t="shared" si="1"/>
        <v>0</v>
      </c>
    </row>
    <row r="59" spans="1:27">
      <c r="A59" s="238">
        <v>2087</v>
      </c>
      <c r="B59" s="168">
        <v>103205</v>
      </c>
      <c r="C59" s="168" t="s">
        <v>626</v>
      </c>
      <c r="D59" s="168" t="s">
        <v>416</v>
      </c>
      <c r="E59" s="625" t="s">
        <v>539</v>
      </c>
      <c r="F59" s="625" t="s">
        <v>537</v>
      </c>
      <c r="G59" s="626" t="s">
        <v>1017</v>
      </c>
      <c r="I59" s="627">
        <v>279576.97000000236</v>
      </c>
      <c r="J59" s="627">
        <v>2706.82</v>
      </c>
      <c r="K59" s="627">
        <f t="shared" si="0"/>
        <v>282283.79000000237</v>
      </c>
      <c r="M59" s="627"/>
      <c r="O59" s="627">
        <v>0</v>
      </c>
      <c r="P59" s="627">
        <v>0</v>
      </c>
      <c r="Q59" s="627">
        <v>0</v>
      </c>
      <c r="R59" s="627">
        <v>0</v>
      </c>
      <c r="S59" s="627"/>
      <c r="T59" s="627"/>
      <c r="U59" s="627"/>
      <c r="V59" s="627"/>
      <c r="W59" s="627"/>
      <c r="X59" s="627"/>
      <c r="Y59" s="627"/>
      <c r="Z59" s="627"/>
      <c r="AA59" s="627">
        <f t="shared" si="1"/>
        <v>0</v>
      </c>
    </row>
    <row r="60" spans="1:27">
      <c r="A60" s="238">
        <v>2466</v>
      </c>
      <c r="B60" s="168">
        <v>103392</v>
      </c>
      <c r="C60" s="168" t="s">
        <v>627</v>
      </c>
      <c r="D60" s="168" t="s">
        <v>417</v>
      </c>
      <c r="E60" s="625" t="s">
        <v>539</v>
      </c>
      <c r="F60" s="625" t="s">
        <v>537</v>
      </c>
      <c r="G60" s="626" t="s">
        <v>1017</v>
      </c>
      <c r="I60" s="627">
        <v>956483.09999999963</v>
      </c>
      <c r="J60" s="627">
        <v>13781.5</v>
      </c>
      <c r="K60" s="627">
        <f t="shared" si="0"/>
        <v>970264.59999999963</v>
      </c>
      <c r="M60" s="627"/>
      <c r="O60" s="627">
        <v>0</v>
      </c>
      <c r="P60" s="627">
        <v>0</v>
      </c>
      <c r="Q60" s="627">
        <v>0</v>
      </c>
      <c r="R60" s="627">
        <v>0</v>
      </c>
      <c r="S60" s="627"/>
      <c r="T60" s="627"/>
      <c r="U60" s="627"/>
      <c r="V60" s="627"/>
      <c r="W60" s="627"/>
      <c r="X60" s="627"/>
      <c r="Y60" s="627"/>
      <c r="Z60" s="627"/>
      <c r="AA60" s="627">
        <f t="shared" si="1"/>
        <v>0</v>
      </c>
    </row>
    <row r="61" spans="1:27">
      <c r="A61" s="238">
        <v>2093</v>
      </c>
      <c r="B61" s="168">
        <v>103210</v>
      </c>
      <c r="C61" s="168" t="s">
        <v>707</v>
      </c>
      <c r="D61" s="168" t="s">
        <v>496</v>
      </c>
      <c r="E61" s="625" t="s">
        <v>539</v>
      </c>
      <c r="F61" s="625" t="s">
        <v>537</v>
      </c>
      <c r="G61" s="626" t="s">
        <v>1017</v>
      </c>
      <c r="I61" s="627">
        <v>539039.51999999932</v>
      </c>
      <c r="J61" s="627">
        <v>40509.479999999996</v>
      </c>
      <c r="K61" s="627">
        <f t="shared" si="0"/>
        <v>579548.9999999993</v>
      </c>
      <c r="M61" s="627"/>
      <c r="O61" s="627">
        <v>0</v>
      </c>
      <c r="P61" s="627">
        <v>0</v>
      </c>
      <c r="Q61" s="627">
        <v>0</v>
      </c>
      <c r="R61" s="627">
        <v>0</v>
      </c>
      <c r="S61" s="627"/>
      <c r="T61" s="627"/>
      <c r="U61" s="627"/>
      <c r="V61" s="627"/>
      <c r="W61" s="627"/>
      <c r="X61" s="627"/>
      <c r="Y61" s="627"/>
      <c r="Z61" s="627"/>
      <c r="AA61" s="627">
        <f t="shared" si="1"/>
        <v>0</v>
      </c>
    </row>
    <row r="62" spans="1:27">
      <c r="A62" s="238">
        <v>2092</v>
      </c>
      <c r="B62" s="168">
        <v>103209</v>
      </c>
      <c r="C62" s="168" t="s">
        <v>562</v>
      </c>
      <c r="D62" s="168" t="s">
        <v>353</v>
      </c>
      <c r="E62" s="625" t="s">
        <v>539</v>
      </c>
      <c r="F62" s="625" t="s">
        <v>537</v>
      </c>
      <c r="G62" s="626">
        <v>0</v>
      </c>
      <c r="I62" s="627">
        <v>797018.92</v>
      </c>
      <c r="J62" s="627">
        <v>47001.66</v>
      </c>
      <c r="K62" s="627">
        <f t="shared" si="0"/>
        <v>844020.58000000007</v>
      </c>
      <c r="M62" s="627"/>
      <c r="O62" s="627">
        <v>0</v>
      </c>
      <c r="P62" s="627">
        <v>0</v>
      </c>
      <c r="Q62" s="627">
        <v>0</v>
      </c>
      <c r="R62" s="627">
        <v>0</v>
      </c>
      <c r="S62" s="627"/>
      <c r="T62" s="627"/>
      <c r="U62" s="627"/>
      <c r="V62" s="627"/>
      <c r="W62" s="627"/>
      <c r="X62" s="627"/>
      <c r="Y62" s="627"/>
      <c r="Z62" s="627"/>
      <c r="AA62" s="627">
        <f t="shared" si="1"/>
        <v>0</v>
      </c>
    </row>
    <row r="63" spans="1:27">
      <c r="A63" s="238">
        <v>7006</v>
      </c>
      <c r="B63" s="168">
        <v>103600</v>
      </c>
      <c r="C63" s="168" t="s">
        <v>629</v>
      </c>
      <c r="D63" s="168" t="s">
        <v>419</v>
      </c>
      <c r="E63" s="625" t="s">
        <v>541</v>
      </c>
      <c r="F63" s="625" t="s">
        <v>537</v>
      </c>
      <c r="G63" s="626" t="s">
        <v>1016</v>
      </c>
      <c r="I63" s="627">
        <v>-79625.6099999898</v>
      </c>
      <c r="J63" s="627">
        <v>107508</v>
      </c>
      <c r="K63" s="627">
        <f t="shared" si="0"/>
        <v>27882.3900000102</v>
      </c>
      <c r="M63" s="627"/>
      <c r="O63" s="627">
        <v>0</v>
      </c>
      <c r="P63" s="627">
        <v>0</v>
      </c>
      <c r="Q63" s="627">
        <v>0</v>
      </c>
      <c r="R63" s="627">
        <v>0</v>
      </c>
      <c r="S63" s="627"/>
      <c r="T63" s="627"/>
      <c r="U63" s="627"/>
      <c r="V63" s="627"/>
      <c r="W63" s="627"/>
      <c r="X63" s="627"/>
      <c r="Y63" s="627"/>
      <c r="Z63" s="627"/>
      <c r="AA63" s="627">
        <f t="shared" si="1"/>
        <v>0</v>
      </c>
    </row>
    <row r="64" spans="1:27">
      <c r="A64" s="238">
        <v>2099</v>
      </c>
      <c r="B64" s="168">
        <v>103214</v>
      </c>
      <c r="C64" s="168" t="s">
        <v>708</v>
      </c>
      <c r="D64" s="168" t="s">
        <v>497</v>
      </c>
      <c r="E64" s="625" t="s">
        <v>539</v>
      </c>
      <c r="F64" s="625" t="s">
        <v>537</v>
      </c>
      <c r="G64" s="626" t="s">
        <v>1017</v>
      </c>
      <c r="I64" s="627">
        <v>210464.49999999965</v>
      </c>
      <c r="J64" s="627">
        <v>2309.25</v>
      </c>
      <c r="K64" s="627">
        <f t="shared" si="0"/>
        <v>212773.74999999965</v>
      </c>
      <c r="M64" s="627"/>
      <c r="O64" s="627">
        <v>0</v>
      </c>
      <c r="P64" s="627">
        <v>0</v>
      </c>
      <c r="Q64" s="627">
        <v>0</v>
      </c>
      <c r="R64" s="627">
        <v>0</v>
      </c>
      <c r="S64" s="627"/>
      <c r="T64" s="627"/>
      <c r="U64" s="627"/>
      <c r="V64" s="627"/>
      <c r="W64" s="627"/>
      <c r="X64" s="627"/>
      <c r="Y64" s="627"/>
      <c r="Z64" s="627"/>
      <c r="AA64" s="627">
        <f t="shared" si="1"/>
        <v>0</v>
      </c>
    </row>
    <row r="65" spans="1:27">
      <c r="A65" s="238">
        <v>1010</v>
      </c>
      <c r="B65" s="168">
        <v>103125</v>
      </c>
      <c r="C65" s="168" t="s">
        <v>632</v>
      </c>
      <c r="D65" s="168" t="s">
        <v>422</v>
      </c>
      <c r="E65" s="625" t="s">
        <v>536</v>
      </c>
      <c r="F65" s="625" t="s">
        <v>537</v>
      </c>
      <c r="G65" s="626" t="s">
        <v>1016</v>
      </c>
      <c r="I65" s="627">
        <v>470124.49999999977</v>
      </c>
      <c r="J65" s="627">
        <v>5194.75</v>
      </c>
      <c r="K65" s="627">
        <f t="shared" si="0"/>
        <v>475319.24999999977</v>
      </c>
      <c r="M65" s="627"/>
      <c r="O65" s="627">
        <v>0</v>
      </c>
      <c r="P65" s="627">
        <v>0</v>
      </c>
      <c r="Q65" s="627">
        <v>0</v>
      </c>
      <c r="R65" s="627">
        <v>0</v>
      </c>
      <c r="S65" s="627"/>
      <c r="T65" s="627"/>
      <c r="U65" s="627"/>
      <c r="V65" s="627"/>
      <c r="W65" s="627"/>
      <c r="X65" s="627"/>
      <c r="Y65" s="627"/>
      <c r="Z65" s="627"/>
      <c r="AA65" s="627">
        <f t="shared" si="1"/>
        <v>0</v>
      </c>
    </row>
    <row r="66" spans="1:27">
      <c r="A66" s="238">
        <v>1021</v>
      </c>
      <c r="B66" s="168">
        <v>103134</v>
      </c>
      <c r="C66" s="168" t="s">
        <v>602</v>
      </c>
      <c r="D66" s="168" t="s">
        <v>392</v>
      </c>
      <c r="E66" s="625" t="s">
        <v>536</v>
      </c>
      <c r="F66" s="625" t="s">
        <v>537</v>
      </c>
      <c r="G66" s="626" t="s">
        <v>1017</v>
      </c>
      <c r="I66" s="627">
        <v>119166.30000000028</v>
      </c>
      <c r="J66" s="627">
        <v>11694.310000000001</v>
      </c>
      <c r="K66" s="627">
        <f t="shared" si="0"/>
        <v>130860.61000000028</v>
      </c>
      <c r="M66" s="627"/>
      <c r="O66" s="627">
        <v>0</v>
      </c>
      <c r="P66" s="627">
        <v>0</v>
      </c>
      <c r="Q66" s="627">
        <v>0</v>
      </c>
      <c r="R66" s="627">
        <v>0</v>
      </c>
      <c r="S66" s="627"/>
      <c r="T66" s="627"/>
      <c r="U66" s="627"/>
      <c r="V66" s="627"/>
      <c r="W66" s="627"/>
      <c r="X66" s="627"/>
      <c r="Y66" s="627"/>
      <c r="Z66" s="627"/>
      <c r="AA66" s="627">
        <f t="shared" si="1"/>
        <v>0</v>
      </c>
    </row>
    <row r="67" spans="1:27">
      <c r="A67" s="238">
        <v>4201</v>
      </c>
      <c r="B67" s="168">
        <v>103503</v>
      </c>
      <c r="C67" s="168" t="s">
        <v>563</v>
      </c>
      <c r="D67" s="168" t="s">
        <v>354</v>
      </c>
      <c r="E67" s="625" t="s">
        <v>543</v>
      </c>
      <c r="F67" s="625" t="s">
        <v>537</v>
      </c>
      <c r="G67" s="626">
        <v>0</v>
      </c>
      <c r="I67" s="627">
        <v>2462119.2100000018</v>
      </c>
      <c r="J67" s="627">
        <v>14787.839999999993</v>
      </c>
      <c r="K67" s="627">
        <f t="shared" si="0"/>
        <v>2476907.0500000017</v>
      </c>
      <c r="M67" s="627"/>
      <c r="O67" s="627">
        <v>0</v>
      </c>
      <c r="P67" s="627">
        <v>0</v>
      </c>
      <c r="Q67" s="627">
        <v>0</v>
      </c>
      <c r="R67" s="627">
        <v>0</v>
      </c>
      <c r="S67" s="627"/>
      <c r="T67" s="627"/>
      <c r="U67" s="627"/>
      <c r="V67" s="627"/>
      <c r="W67" s="627"/>
      <c r="X67" s="627"/>
      <c r="Y67" s="627"/>
      <c r="Z67" s="627"/>
      <c r="AA67" s="627">
        <f t="shared" si="1"/>
        <v>0</v>
      </c>
    </row>
    <row r="68" spans="1:27">
      <c r="A68" s="238">
        <v>4015</v>
      </c>
      <c r="B68" s="168">
        <v>103483</v>
      </c>
      <c r="C68" s="168" t="s">
        <v>564</v>
      </c>
      <c r="D68" s="168" t="s">
        <v>355</v>
      </c>
      <c r="E68" s="625" t="s">
        <v>543</v>
      </c>
      <c r="F68" s="625" t="s">
        <v>537</v>
      </c>
      <c r="G68" s="626">
        <v>0</v>
      </c>
      <c r="I68" s="627">
        <v>1167619.1300000011</v>
      </c>
      <c r="J68" s="627">
        <v>43990.84</v>
      </c>
      <c r="K68" s="627">
        <f t="shared" si="0"/>
        <v>1211609.9700000011</v>
      </c>
      <c r="M68" s="627"/>
      <c r="O68" s="627">
        <v>0</v>
      </c>
      <c r="P68" s="627">
        <v>0</v>
      </c>
      <c r="Q68" s="627">
        <v>0</v>
      </c>
      <c r="R68" s="627">
        <v>0</v>
      </c>
      <c r="S68" s="627"/>
      <c r="T68" s="627"/>
      <c r="U68" s="627"/>
      <c r="V68" s="627"/>
      <c r="W68" s="627"/>
      <c r="X68" s="627"/>
      <c r="Y68" s="627"/>
      <c r="Z68" s="627"/>
      <c r="AA68" s="627">
        <f t="shared" si="1"/>
        <v>0</v>
      </c>
    </row>
    <row r="69" spans="1:27">
      <c r="A69" s="238">
        <v>3411</v>
      </c>
      <c r="B69" s="168">
        <v>103479</v>
      </c>
      <c r="C69" s="168" t="s">
        <v>633</v>
      </c>
      <c r="D69" s="168" t="s">
        <v>423</v>
      </c>
      <c r="E69" s="625" t="s">
        <v>539</v>
      </c>
      <c r="F69" s="625" t="s">
        <v>537</v>
      </c>
      <c r="G69" s="626" t="s">
        <v>1016</v>
      </c>
      <c r="I69" s="627">
        <v>391018.42000000062</v>
      </c>
      <c r="J69" s="627">
        <v>0</v>
      </c>
      <c r="K69" s="627">
        <f t="shared" si="0"/>
        <v>391018.42000000062</v>
      </c>
      <c r="M69" s="627"/>
      <c r="O69" s="627">
        <v>0</v>
      </c>
      <c r="P69" s="627">
        <v>0</v>
      </c>
      <c r="Q69" s="627">
        <v>0</v>
      </c>
      <c r="R69" s="627">
        <v>0</v>
      </c>
      <c r="S69" s="627"/>
      <c r="T69" s="627"/>
      <c r="U69" s="627"/>
      <c r="V69" s="627"/>
      <c r="W69" s="627"/>
      <c r="X69" s="627"/>
      <c r="Y69" s="627"/>
      <c r="Z69" s="627"/>
      <c r="AA69" s="627">
        <f t="shared" si="1"/>
        <v>0</v>
      </c>
    </row>
    <row r="70" spans="1:27">
      <c r="A70" s="238">
        <v>4223</v>
      </c>
      <c r="B70" s="168">
        <v>103509</v>
      </c>
      <c r="C70" s="168" t="s">
        <v>565</v>
      </c>
      <c r="D70" s="168" t="s">
        <v>356</v>
      </c>
      <c r="E70" s="625" t="s">
        <v>543</v>
      </c>
      <c r="F70" s="625" t="s">
        <v>537</v>
      </c>
      <c r="G70" s="626">
        <v>0</v>
      </c>
      <c r="I70" s="627">
        <v>3880738.2999999989</v>
      </c>
      <c r="J70" s="627">
        <v>24995.31</v>
      </c>
      <c r="K70" s="627">
        <f t="shared" ref="K70:K133" si="2">I70+J70</f>
        <v>3905733.6099999989</v>
      </c>
      <c r="M70" s="627"/>
      <c r="O70" s="627">
        <v>0</v>
      </c>
      <c r="P70" s="627">
        <v>0</v>
      </c>
      <c r="Q70" s="627">
        <v>0</v>
      </c>
      <c r="R70" s="627">
        <v>0</v>
      </c>
      <c r="S70" s="627"/>
      <c r="T70" s="627"/>
      <c r="U70" s="627"/>
      <c r="V70" s="627"/>
      <c r="W70" s="627"/>
      <c r="X70" s="627"/>
      <c r="Y70" s="627"/>
      <c r="Z70" s="627"/>
      <c r="AA70" s="627">
        <f t="shared" ref="AA70:AA133" si="3">(-M70)+SUM(O70:Z70)</f>
        <v>0</v>
      </c>
    </row>
    <row r="71" spans="1:27">
      <c r="A71" s="238">
        <v>3317</v>
      </c>
      <c r="B71" s="168">
        <v>103421</v>
      </c>
      <c r="C71" s="168" t="s">
        <v>635</v>
      </c>
      <c r="D71" s="168" t="s">
        <v>425</v>
      </c>
      <c r="E71" s="625" t="s">
        <v>539</v>
      </c>
      <c r="F71" s="625" t="s">
        <v>537</v>
      </c>
      <c r="G71" s="626" t="s">
        <v>1017</v>
      </c>
      <c r="I71" s="627">
        <v>28044.320000000676</v>
      </c>
      <c r="J71" s="627">
        <v>44157</v>
      </c>
      <c r="K71" s="627">
        <f t="shared" si="2"/>
        <v>72201.320000000676</v>
      </c>
      <c r="M71" s="627"/>
      <c r="O71" s="627">
        <v>0</v>
      </c>
      <c r="P71" s="627">
        <v>0</v>
      </c>
      <c r="Q71" s="627">
        <v>0</v>
      </c>
      <c r="R71" s="627">
        <v>0</v>
      </c>
      <c r="S71" s="627"/>
      <c r="T71" s="627"/>
      <c r="U71" s="627"/>
      <c r="V71" s="627"/>
      <c r="W71" s="627"/>
      <c r="X71" s="627"/>
      <c r="Y71" s="627"/>
      <c r="Z71" s="627"/>
      <c r="AA71" s="627">
        <f t="shared" si="3"/>
        <v>0</v>
      </c>
    </row>
    <row r="72" spans="1:27">
      <c r="A72" s="238">
        <v>1023</v>
      </c>
      <c r="B72" s="168">
        <v>103136</v>
      </c>
      <c r="C72" s="168" t="s">
        <v>636</v>
      </c>
      <c r="D72" s="168" t="s">
        <v>426</v>
      </c>
      <c r="E72" s="625" t="s">
        <v>536</v>
      </c>
      <c r="F72" s="625" t="s">
        <v>537</v>
      </c>
      <c r="G72" s="626" t="s">
        <v>1016</v>
      </c>
      <c r="I72" s="627">
        <v>274462.42999999988</v>
      </c>
      <c r="J72" s="627">
        <v>27919.88</v>
      </c>
      <c r="K72" s="627">
        <f t="shared" si="2"/>
        <v>302382.30999999988</v>
      </c>
      <c r="M72" s="627"/>
      <c r="O72" s="627">
        <v>0</v>
      </c>
      <c r="P72" s="627">
        <v>0</v>
      </c>
      <c r="Q72" s="627">
        <v>0</v>
      </c>
      <c r="R72" s="627">
        <v>0</v>
      </c>
      <c r="S72" s="627"/>
      <c r="T72" s="627"/>
      <c r="U72" s="627"/>
      <c r="V72" s="627"/>
      <c r="W72" s="627"/>
      <c r="X72" s="627"/>
      <c r="Y72" s="627"/>
      <c r="Z72" s="627"/>
      <c r="AA72" s="627">
        <f t="shared" si="3"/>
        <v>0</v>
      </c>
    </row>
    <row r="73" spans="1:27">
      <c r="A73" s="238">
        <v>2015</v>
      </c>
      <c r="B73" s="168">
        <v>134102</v>
      </c>
      <c r="C73" s="168" t="s">
        <v>566</v>
      </c>
      <c r="D73" s="168" t="s">
        <v>357</v>
      </c>
      <c r="E73" s="625" t="s">
        <v>539</v>
      </c>
      <c r="F73" s="625" t="s">
        <v>537</v>
      </c>
      <c r="G73" s="626">
        <v>0</v>
      </c>
      <c r="I73" s="627">
        <v>562555.25999999954</v>
      </c>
      <c r="J73" s="627">
        <v>13515</v>
      </c>
      <c r="K73" s="627">
        <f t="shared" si="2"/>
        <v>576070.25999999954</v>
      </c>
      <c r="M73" s="627"/>
      <c r="O73" s="627">
        <v>0</v>
      </c>
      <c r="P73" s="627">
        <v>0</v>
      </c>
      <c r="Q73" s="627">
        <v>0</v>
      </c>
      <c r="R73" s="627">
        <v>0</v>
      </c>
      <c r="S73" s="627"/>
      <c r="T73" s="627"/>
      <c r="U73" s="627"/>
      <c r="V73" s="627"/>
      <c r="W73" s="627"/>
      <c r="X73" s="627"/>
      <c r="Y73" s="627"/>
      <c r="Z73" s="627"/>
      <c r="AA73" s="627">
        <f t="shared" si="3"/>
        <v>0</v>
      </c>
    </row>
    <row r="74" spans="1:27">
      <c r="A74" s="238">
        <v>4063</v>
      </c>
      <c r="B74" s="168">
        <v>103486</v>
      </c>
      <c r="C74" s="168" t="s">
        <v>599</v>
      </c>
      <c r="D74" s="168" t="s">
        <v>793</v>
      </c>
      <c r="E74" s="625" t="s">
        <v>543</v>
      </c>
      <c r="F74" s="625" t="s">
        <v>537</v>
      </c>
      <c r="G74" s="626">
        <v>0</v>
      </c>
      <c r="I74" s="627">
        <v>546939.8599999994</v>
      </c>
      <c r="J74" s="627">
        <v>39715</v>
      </c>
      <c r="K74" s="627">
        <f t="shared" si="2"/>
        <v>586654.8599999994</v>
      </c>
      <c r="M74" s="627"/>
      <c r="O74" s="627">
        <v>0</v>
      </c>
      <c r="P74" s="627">
        <v>0</v>
      </c>
      <c r="Q74" s="627">
        <v>0</v>
      </c>
      <c r="R74" s="627">
        <v>0</v>
      </c>
      <c r="S74" s="627"/>
      <c r="T74" s="627"/>
      <c r="U74" s="627"/>
      <c r="V74" s="627"/>
      <c r="W74" s="627"/>
      <c r="X74" s="627"/>
      <c r="Y74" s="627"/>
      <c r="Z74" s="627"/>
      <c r="AA74" s="627">
        <f t="shared" si="3"/>
        <v>0</v>
      </c>
    </row>
    <row r="75" spans="1:27">
      <c r="A75" s="238">
        <v>1016</v>
      </c>
      <c r="B75" s="168">
        <v>103129</v>
      </c>
      <c r="C75" s="168" t="s">
        <v>639</v>
      </c>
      <c r="D75" s="168" t="s">
        <v>429</v>
      </c>
      <c r="E75" s="625" t="s">
        <v>536</v>
      </c>
      <c r="F75" s="625" t="s">
        <v>537</v>
      </c>
      <c r="G75" s="626" t="s">
        <v>1017</v>
      </c>
      <c r="I75" s="627">
        <v>145367.85000000114</v>
      </c>
      <c r="J75" s="627">
        <v>2934</v>
      </c>
      <c r="K75" s="627">
        <f t="shared" si="2"/>
        <v>148301.85000000114</v>
      </c>
      <c r="M75" s="627"/>
      <c r="O75" s="627">
        <v>0</v>
      </c>
      <c r="P75" s="627">
        <v>0</v>
      </c>
      <c r="Q75" s="627">
        <v>0</v>
      </c>
      <c r="R75" s="627">
        <v>0</v>
      </c>
      <c r="S75" s="627"/>
      <c r="T75" s="627"/>
      <c r="U75" s="627"/>
      <c r="V75" s="627"/>
      <c r="W75" s="627"/>
      <c r="X75" s="627"/>
      <c r="Y75" s="627"/>
      <c r="Z75" s="627"/>
      <c r="AA75" s="627">
        <f t="shared" si="3"/>
        <v>0</v>
      </c>
    </row>
    <row r="76" spans="1:27">
      <c r="A76" s="238">
        <v>2115</v>
      </c>
      <c r="B76" s="168">
        <v>103221</v>
      </c>
      <c r="C76" s="168" t="s">
        <v>640</v>
      </c>
      <c r="D76" s="168" t="s">
        <v>430</v>
      </c>
      <c r="E76" s="625" t="s">
        <v>539</v>
      </c>
      <c r="F76" s="625" t="s">
        <v>537</v>
      </c>
      <c r="G76" s="626" t="s">
        <v>1017</v>
      </c>
      <c r="I76" s="627">
        <v>291317.62000000023</v>
      </c>
      <c r="J76" s="627">
        <v>4559.88</v>
      </c>
      <c r="K76" s="627">
        <f t="shared" si="2"/>
        <v>295877.50000000023</v>
      </c>
      <c r="M76" s="627"/>
      <c r="O76" s="627">
        <v>0</v>
      </c>
      <c r="P76" s="627">
        <v>0</v>
      </c>
      <c r="Q76" s="627">
        <v>0</v>
      </c>
      <c r="R76" s="627">
        <v>0</v>
      </c>
      <c r="S76" s="627"/>
      <c r="T76" s="627"/>
      <c r="U76" s="627"/>
      <c r="V76" s="627"/>
      <c r="W76" s="627"/>
      <c r="X76" s="627"/>
      <c r="Y76" s="627"/>
      <c r="Z76" s="627"/>
      <c r="AA76" s="627">
        <f t="shared" si="3"/>
        <v>0</v>
      </c>
    </row>
    <row r="77" spans="1:27">
      <c r="A77" s="238">
        <v>2441</v>
      </c>
      <c r="B77" s="168">
        <v>103368</v>
      </c>
      <c r="C77" s="168" t="s">
        <v>641</v>
      </c>
      <c r="D77" s="168" t="s">
        <v>431</v>
      </c>
      <c r="E77" s="625" t="s">
        <v>539</v>
      </c>
      <c r="F77" s="625" t="s">
        <v>537</v>
      </c>
      <c r="G77" s="626" t="s">
        <v>1017</v>
      </c>
      <c r="I77" s="627">
        <v>319126.28000000305</v>
      </c>
      <c r="J77" s="627">
        <v>38444.129999999997</v>
      </c>
      <c r="K77" s="627">
        <f t="shared" si="2"/>
        <v>357570.41000000306</v>
      </c>
      <c r="M77" s="627"/>
      <c r="O77" s="627">
        <v>0</v>
      </c>
      <c r="P77" s="627">
        <v>0</v>
      </c>
      <c r="Q77" s="627">
        <v>0</v>
      </c>
      <c r="R77" s="627">
        <v>0</v>
      </c>
      <c r="S77" s="627"/>
      <c r="T77" s="627"/>
      <c r="U77" s="627"/>
      <c r="V77" s="627"/>
      <c r="W77" s="627"/>
      <c r="X77" s="627"/>
      <c r="Y77" s="627"/>
      <c r="Z77" s="627"/>
      <c r="AA77" s="627">
        <f t="shared" si="3"/>
        <v>0</v>
      </c>
    </row>
    <row r="78" spans="1:27">
      <c r="A78" s="238">
        <v>2321</v>
      </c>
      <c r="B78" s="168">
        <v>103339</v>
      </c>
      <c r="C78" s="168" t="s">
        <v>642</v>
      </c>
      <c r="D78" s="168" t="s">
        <v>432</v>
      </c>
      <c r="E78" s="625" t="s">
        <v>539</v>
      </c>
      <c r="F78" s="625" t="s">
        <v>537</v>
      </c>
      <c r="G78" s="626" t="s">
        <v>1017</v>
      </c>
      <c r="I78" s="627">
        <v>385866.67999999924</v>
      </c>
      <c r="J78" s="627">
        <v>6066.4</v>
      </c>
      <c r="K78" s="627">
        <f t="shared" si="2"/>
        <v>391933.07999999926</v>
      </c>
      <c r="M78" s="627"/>
      <c r="O78" s="627">
        <v>0</v>
      </c>
      <c r="P78" s="627">
        <v>0</v>
      </c>
      <c r="Q78" s="627">
        <v>0</v>
      </c>
      <c r="R78" s="627">
        <v>0</v>
      </c>
      <c r="S78" s="627"/>
      <c r="T78" s="627"/>
      <c r="U78" s="627"/>
      <c r="V78" s="627"/>
      <c r="W78" s="627"/>
      <c r="X78" s="627"/>
      <c r="Y78" s="627"/>
      <c r="Z78" s="627"/>
      <c r="AA78" s="627">
        <f t="shared" si="3"/>
        <v>0</v>
      </c>
    </row>
    <row r="79" spans="1:27">
      <c r="A79" s="238">
        <v>7062</v>
      </c>
      <c r="B79" s="168">
        <v>103632</v>
      </c>
      <c r="C79" s="168" t="s">
        <v>644</v>
      </c>
      <c r="D79" s="168" t="s">
        <v>434</v>
      </c>
      <c r="E79" s="625" t="s">
        <v>541</v>
      </c>
      <c r="F79" s="625" t="s">
        <v>537</v>
      </c>
      <c r="G79" s="626" t="s">
        <v>1017</v>
      </c>
      <c r="I79" s="627">
        <v>805759.3399999988</v>
      </c>
      <c r="J79" s="627">
        <v>53477.34</v>
      </c>
      <c r="K79" s="627">
        <f t="shared" si="2"/>
        <v>859236.67999999877</v>
      </c>
      <c r="M79" s="627"/>
      <c r="O79" s="627">
        <v>0</v>
      </c>
      <c r="P79" s="627">
        <v>0</v>
      </c>
      <c r="Q79" s="627">
        <v>0</v>
      </c>
      <c r="R79" s="627">
        <v>0</v>
      </c>
      <c r="S79" s="627"/>
      <c r="T79" s="627"/>
      <c r="U79" s="627"/>
      <c r="V79" s="627"/>
      <c r="W79" s="627"/>
      <c r="X79" s="627"/>
      <c r="Y79" s="627"/>
      <c r="Z79" s="627"/>
      <c r="AA79" s="627">
        <f t="shared" si="3"/>
        <v>0</v>
      </c>
    </row>
    <row r="80" spans="1:27">
      <c r="A80" s="238">
        <v>2462</v>
      </c>
      <c r="B80" s="168">
        <v>103388</v>
      </c>
      <c r="C80" s="168" t="s">
        <v>567</v>
      </c>
      <c r="D80" s="168" t="s">
        <v>358</v>
      </c>
      <c r="E80" s="625" t="s">
        <v>539</v>
      </c>
      <c r="F80" s="625" t="s">
        <v>537</v>
      </c>
      <c r="G80" s="626">
        <v>0</v>
      </c>
      <c r="I80" s="627">
        <v>624319.06999999913</v>
      </c>
      <c r="J80" s="627">
        <v>4390.83</v>
      </c>
      <c r="K80" s="627">
        <f t="shared" si="2"/>
        <v>628709.89999999909</v>
      </c>
      <c r="M80" s="627"/>
      <c r="O80" s="627">
        <v>0</v>
      </c>
      <c r="P80" s="627">
        <v>0</v>
      </c>
      <c r="Q80" s="627">
        <v>0</v>
      </c>
      <c r="R80" s="627">
        <v>0</v>
      </c>
      <c r="S80" s="627"/>
      <c r="T80" s="627"/>
      <c r="U80" s="627"/>
      <c r="V80" s="627"/>
      <c r="W80" s="627"/>
      <c r="X80" s="627"/>
      <c r="Y80" s="627"/>
      <c r="Z80" s="627"/>
      <c r="AA80" s="627">
        <f t="shared" si="3"/>
        <v>0</v>
      </c>
    </row>
    <row r="81" spans="1:27">
      <c r="A81" s="238">
        <v>7012</v>
      </c>
      <c r="B81" s="168">
        <v>103603</v>
      </c>
      <c r="C81" s="168" t="s">
        <v>711</v>
      </c>
      <c r="D81" s="168" t="s">
        <v>500</v>
      </c>
      <c r="E81" s="625" t="s">
        <v>541</v>
      </c>
      <c r="F81" s="625" t="s">
        <v>537</v>
      </c>
      <c r="G81" s="626" t="s">
        <v>1017</v>
      </c>
      <c r="I81" s="627">
        <v>-131472.62000000011</v>
      </c>
      <c r="J81" s="627">
        <v>38628</v>
      </c>
      <c r="K81" s="627">
        <f t="shared" si="2"/>
        <v>-92844.620000000112</v>
      </c>
      <c r="M81" s="627"/>
      <c r="O81" s="627">
        <v>0</v>
      </c>
      <c r="P81" s="627">
        <v>0</v>
      </c>
      <c r="Q81" s="627">
        <v>0</v>
      </c>
      <c r="R81" s="627">
        <v>0</v>
      </c>
      <c r="S81" s="627"/>
      <c r="T81" s="627"/>
      <c r="U81" s="627"/>
      <c r="V81" s="627"/>
      <c r="W81" s="627"/>
      <c r="X81" s="627"/>
      <c r="Y81" s="627"/>
      <c r="Z81" s="627"/>
      <c r="AA81" s="627">
        <f t="shared" si="3"/>
        <v>0</v>
      </c>
    </row>
    <row r="82" spans="1:27">
      <c r="A82" s="238">
        <v>2127</v>
      </c>
      <c r="B82" s="168">
        <v>103227</v>
      </c>
      <c r="C82" s="168" t="s">
        <v>568</v>
      </c>
      <c r="D82" s="168" t="s">
        <v>359</v>
      </c>
      <c r="E82" s="625" t="s">
        <v>539</v>
      </c>
      <c r="F82" s="625" t="s">
        <v>537</v>
      </c>
      <c r="G82" s="626">
        <v>0</v>
      </c>
      <c r="I82" s="627">
        <v>314028.36000000092</v>
      </c>
      <c r="J82" s="627">
        <v>45956.78</v>
      </c>
      <c r="K82" s="627">
        <f t="shared" si="2"/>
        <v>359985.14000000095</v>
      </c>
      <c r="M82" s="627"/>
      <c r="O82" s="627">
        <v>0</v>
      </c>
      <c r="P82" s="627">
        <v>0</v>
      </c>
      <c r="Q82" s="627">
        <v>0</v>
      </c>
      <c r="R82" s="627">
        <v>0</v>
      </c>
      <c r="S82" s="627"/>
      <c r="T82" s="627"/>
      <c r="U82" s="627"/>
      <c r="V82" s="627"/>
      <c r="W82" s="627"/>
      <c r="X82" s="627"/>
      <c r="Y82" s="627"/>
      <c r="Z82" s="627"/>
      <c r="AA82" s="627">
        <f t="shared" si="3"/>
        <v>0</v>
      </c>
    </row>
    <row r="83" spans="1:27">
      <c r="A83" s="238">
        <v>2129</v>
      </c>
      <c r="B83" s="168">
        <v>103229</v>
      </c>
      <c r="C83" s="168" t="s">
        <v>569</v>
      </c>
      <c r="D83" s="168" t="s">
        <v>360</v>
      </c>
      <c r="E83" s="625" t="s">
        <v>539</v>
      </c>
      <c r="F83" s="625" t="s">
        <v>537</v>
      </c>
      <c r="G83" s="626">
        <v>0</v>
      </c>
      <c r="I83" s="627">
        <v>50081.93357843082</v>
      </c>
      <c r="J83" s="627">
        <v>30406.47</v>
      </c>
      <c r="K83" s="627">
        <f t="shared" si="2"/>
        <v>80488.403578430822</v>
      </c>
      <c r="M83" s="627"/>
      <c r="O83" s="627">
        <v>0</v>
      </c>
      <c r="P83" s="627">
        <v>0</v>
      </c>
      <c r="Q83" s="627">
        <v>60000</v>
      </c>
      <c r="R83" s="627">
        <v>0</v>
      </c>
      <c r="S83" s="627"/>
      <c r="T83" s="627"/>
      <c r="U83" s="627"/>
      <c r="V83" s="627"/>
      <c r="W83" s="627"/>
      <c r="X83" s="627"/>
      <c r="Y83" s="627"/>
      <c r="Z83" s="627"/>
      <c r="AA83" s="627">
        <f t="shared" si="3"/>
        <v>60000</v>
      </c>
    </row>
    <row r="84" spans="1:27">
      <c r="A84" s="238">
        <v>2128</v>
      </c>
      <c r="B84" s="168">
        <v>103228</v>
      </c>
      <c r="C84" s="168" t="s">
        <v>570</v>
      </c>
      <c r="D84" s="168" t="s">
        <v>361</v>
      </c>
      <c r="E84" s="625" t="s">
        <v>539</v>
      </c>
      <c r="F84" s="625" t="s">
        <v>537</v>
      </c>
      <c r="G84" s="626">
        <v>0</v>
      </c>
      <c r="I84" s="627">
        <v>213519.83208333323</v>
      </c>
      <c r="J84" s="627">
        <v>76166.37</v>
      </c>
      <c r="K84" s="627">
        <f t="shared" si="2"/>
        <v>289686.20208333322</v>
      </c>
      <c r="M84" s="627"/>
      <c r="O84" s="627">
        <v>0</v>
      </c>
      <c r="P84" s="627">
        <v>0</v>
      </c>
      <c r="Q84" s="627">
        <v>0</v>
      </c>
      <c r="R84" s="627">
        <v>0</v>
      </c>
      <c r="S84" s="627"/>
      <c r="T84" s="627"/>
      <c r="U84" s="627"/>
      <c r="V84" s="627"/>
      <c r="W84" s="627"/>
      <c r="X84" s="627"/>
      <c r="Y84" s="627"/>
      <c r="Z84" s="627"/>
      <c r="AA84" s="627">
        <f t="shared" si="3"/>
        <v>0</v>
      </c>
    </row>
    <row r="85" spans="1:27">
      <c r="A85" s="238">
        <v>2420</v>
      </c>
      <c r="B85" s="168">
        <v>103353</v>
      </c>
      <c r="C85" s="168" t="s">
        <v>712</v>
      </c>
      <c r="D85" s="168" t="s">
        <v>501</v>
      </c>
      <c r="E85" s="625" t="s">
        <v>539</v>
      </c>
      <c r="F85" s="625" t="s">
        <v>537</v>
      </c>
      <c r="G85" s="626" t="s">
        <v>1017</v>
      </c>
      <c r="I85" s="627">
        <v>284740</v>
      </c>
      <c r="J85" s="627">
        <v>7014</v>
      </c>
      <c r="K85" s="627">
        <f t="shared" si="2"/>
        <v>291754</v>
      </c>
      <c r="M85" s="627"/>
      <c r="O85" s="627">
        <v>0</v>
      </c>
      <c r="P85" s="627">
        <v>0</v>
      </c>
      <c r="Q85" s="627">
        <v>0</v>
      </c>
      <c r="R85" s="627">
        <v>0</v>
      </c>
      <c r="S85" s="627"/>
      <c r="T85" s="627"/>
      <c r="U85" s="627"/>
      <c r="V85" s="627"/>
      <c r="W85" s="627"/>
      <c r="X85" s="627"/>
      <c r="Y85" s="627"/>
      <c r="Z85" s="627"/>
      <c r="AA85" s="627">
        <f t="shared" si="3"/>
        <v>0</v>
      </c>
    </row>
    <row r="86" spans="1:27">
      <c r="A86" s="238">
        <v>1012</v>
      </c>
      <c r="B86" s="168">
        <v>103126</v>
      </c>
      <c r="C86" s="168" t="s">
        <v>646</v>
      </c>
      <c r="D86" s="168" t="s">
        <v>436</v>
      </c>
      <c r="E86" s="625" t="s">
        <v>536</v>
      </c>
      <c r="F86" s="625" t="s">
        <v>537</v>
      </c>
      <c r="G86" s="626" t="s">
        <v>1017</v>
      </c>
      <c r="I86" s="627">
        <v>495607.77999999974</v>
      </c>
      <c r="J86" s="627">
        <v>45458.95</v>
      </c>
      <c r="K86" s="627">
        <f t="shared" si="2"/>
        <v>541066.72999999975</v>
      </c>
      <c r="M86" s="627"/>
      <c r="O86" s="627">
        <v>0</v>
      </c>
      <c r="P86" s="627">
        <v>0</v>
      </c>
      <c r="Q86" s="627">
        <v>0</v>
      </c>
      <c r="R86" s="627">
        <v>0</v>
      </c>
      <c r="S86" s="627"/>
      <c r="T86" s="627"/>
      <c r="U86" s="627"/>
      <c r="V86" s="627"/>
      <c r="W86" s="627"/>
      <c r="X86" s="627"/>
      <c r="Y86" s="627"/>
      <c r="Z86" s="627"/>
      <c r="AA86" s="627">
        <f t="shared" si="3"/>
        <v>0</v>
      </c>
    </row>
    <row r="87" spans="1:27">
      <c r="A87" s="238">
        <v>2133</v>
      </c>
      <c r="B87" s="168">
        <v>103233</v>
      </c>
      <c r="C87" s="168" t="s">
        <v>571</v>
      </c>
      <c r="D87" s="168" t="s">
        <v>362</v>
      </c>
      <c r="E87" s="625" t="s">
        <v>539</v>
      </c>
      <c r="F87" s="625" t="s">
        <v>537</v>
      </c>
      <c r="G87" s="626">
        <v>0</v>
      </c>
      <c r="I87" s="627">
        <v>351829.37999999971</v>
      </c>
      <c r="J87" s="627">
        <v>40863.799999999996</v>
      </c>
      <c r="K87" s="627">
        <f t="shared" si="2"/>
        <v>392693.1799999997</v>
      </c>
      <c r="M87" s="627"/>
      <c r="O87" s="627">
        <v>0</v>
      </c>
      <c r="P87" s="627">
        <v>0</v>
      </c>
      <c r="Q87" s="627">
        <v>0</v>
      </c>
      <c r="R87" s="627">
        <v>0</v>
      </c>
      <c r="S87" s="627"/>
      <c r="T87" s="627"/>
      <c r="U87" s="627"/>
      <c r="V87" s="627"/>
      <c r="W87" s="627"/>
      <c r="X87" s="627"/>
      <c r="Y87" s="627"/>
      <c r="Z87" s="627"/>
      <c r="AA87" s="627">
        <f t="shared" si="3"/>
        <v>0</v>
      </c>
    </row>
    <row r="88" spans="1:27">
      <c r="A88" s="238">
        <v>3322</v>
      </c>
      <c r="B88" s="168">
        <v>103426</v>
      </c>
      <c r="C88" s="168" t="s">
        <v>572</v>
      </c>
      <c r="D88" s="168" t="s">
        <v>363</v>
      </c>
      <c r="E88" s="625" t="s">
        <v>539</v>
      </c>
      <c r="F88" s="625" t="s">
        <v>1000</v>
      </c>
      <c r="G88" s="626">
        <v>0</v>
      </c>
      <c r="I88" s="627">
        <v>64079.089999999705</v>
      </c>
      <c r="J88" s="627">
        <v>13482.24</v>
      </c>
      <c r="K88" s="627">
        <f t="shared" si="2"/>
        <v>77561.329999999711</v>
      </c>
      <c r="M88" s="627"/>
      <c r="O88" s="627">
        <v>0</v>
      </c>
      <c r="P88" s="627">
        <v>0</v>
      </c>
      <c r="Q88" s="627">
        <v>0</v>
      </c>
      <c r="R88" s="627">
        <v>0</v>
      </c>
      <c r="S88" s="627"/>
      <c r="T88" s="627"/>
      <c r="U88" s="627"/>
      <c r="V88" s="627"/>
      <c r="W88" s="627"/>
      <c r="X88" s="627"/>
      <c r="Y88" s="627"/>
      <c r="Z88" s="627"/>
      <c r="AA88" s="627">
        <f t="shared" si="3"/>
        <v>0</v>
      </c>
    </row>
    <row r="89" spans="1:27">
      <c r="A89" s="238">
        <v>2406</v>
      </c>
      <c r="B89" s="168">
        <v>103345</v>
      </c>
      <c r="C89" s="168" t="s">
        <v>713</v>
      </c>
      <c r="D89" s="168" t="s">
        <v>502</v>
      </c>
      <c r="E89" s="625" t="s">
        <v>539</v>
      </c>
      <c r="F89" s="625" t="s">
        <v>537</v>
      </c>
      <c r="G89" s="626" t="s">
        <v>1017</v>
      </c>
      <c r="I89" s="627">
        <v>192585.37999999989</v>
      </c>
      <c r="J89" s="627">
        <v>8217</v>
      </c>
      <c r="K89" s="627">
        <f t="shared" si="2"/>
        <v>200802.37999999989</v>
      </c>
      <c r="M89" s="627"/>
      <c r="O89" s="627">
        <v>0</v>
      </c>
      <c r="P89" s="627">
        <v>0</v>
      </c>
      <c r="Q89" s="627">
        <v>0</v>
      </c>
      <c r="R89" s="627">
        <v>0</v>
      </c>
      <c r="S89" s="627"/>
      <c r="T89" s="627"/>
      <c r="U89" s="627"/>
      <c r="V89" s="627"/>
      <c r="W89" s="627"/>
      <c r="X89" s="627"/>
      <c r="Y89" s="627"/>
      <c r="Z89" s="627"/>
      <c r="AA89" s="627">
        <f t="shared" si="3"/>
        <v>0</v>
      </c>
    </row>
    <row r="90" spans="1:27">
      <c r="A90" s="238">
        <v>2416</v>
      </c>
      <c r="B90" s="168">
        <v>103351</v>
      </c>
      <c r="C90" s="168" t="s">
        <v>573</v>
      </c>
      <c r="D90" s="168" t="s">
        <v>364</v>
      </c>
      <c r="E90" s="625" t="s">
        <v>539</v>
      </c>
      <c r="F90" s="625" t="s">
        <v>537</v>
      </c>
      <c r="G90" s="626">
        <v>0</v>
      </c>
      <c r="I90" s="627">
        <v>57712.910000000149</v>
      </c>
      <c r="J90" s="627">
        <v>19658</v>
      </c>
      <c r="K90" s="627">
        <f t="shared" si="2"/>
        <v>77370.910000000149</v>
      </c>
      <c r="M90" s="627"/>
      <c r="O90" s="627">
        <v>0</v>
      </c>
      <c r="P90" s="627">
        <v>0</v>
      </c>
      <c r="Q90" s="627">
        <v>0</v>
      </c>
      <c r="R90" s="627">
        <v>0</v>
      </c>
      <c r="S90" s="627"/>
      <c r="T90" s="627"/>
      <c r="U90" s="627"/>
      <c r="V90" s="627"/>
      <c r="W90" s="627"/>
      <c r="X90" s="627"/>
      <c r="Y90" s="627"/>
      <c r="Z90" s="627"/>
      <c r="AA90" s="627">
        <f t="shared" si="3"/>
        <v>0</v>
      </c>
    </row>
    <row r="91" spans="1:27">
      <c r="A91" s="238">
        <v>3003</v>
      </c>
      <c r="B91" s="168">
        <v>103398</v>
      </c>
      <c r="C91" s="168" t="s">
        <v>647</v>
      </c>
      <c r="D91" s="168" t="s">
        <v>437</v>
      </c>
      <c r="E91" s="625" t="s">
        <v>539</v>
      </c>
      <c r="F91" s="625" t="s">
        <v>537</v>
      </c>
      <c r="G91" s="626" t="s">
        <v>1017</v>
      </c>
      <c r="I91" s="627">
        <v>-4257.9900000001217</v>
      </c>
      <c r="J91" s="627">
        <v>0</v>
      </c>
      <c r="K91" s="627">
        <f t="shared" si="2"/>
        <v>-4257.9900000001217</v>
      </c>
      <c r="M91" s="627"/>
      <c r="O91" s="627">
        <v>0</v>
      </c>
      <c r="P91" s="627">
        <v>0</v>
      </c>
      <c r="Q91" s="627">
        <v>0</v>
      </c>
      <c r="R91" s="627">
        <v>0</v>
      </c>
      <c r="S91" s="627"/>
      <c r="T91" s="627"/>
      <c r="U91" s="627"/>
      <c r="V91" s="627"/>
      <c r="W91" s="627"/>
      <c r="X91" s="627"/>
      <c r="Y91" s="627"/>
      <c r="Z91" s="627"/>
      <c r="AA91" s="627">
        <f t="shared" si="3"/>
        <v>0</v>
      </c>
    </row>
    <row r="92" spans="1:27">
      <c r="A92" s="238">
        <v>4245</v>
      </c>
      <c r="B92" s="168">
        <v>103519</v>
      </c>
      <c r="C92" s="168" t="s">
        <v>574</v>
      </c>
      <c r="D92" s="168" t="s">
        <v>365</v>
      </c>
      <c r="E92" s="625" t="s">
        <v>543</v>
      </c>
      <c r="F92" s="625" t="s">
        <v>537</v>
      </c>
      <c r="G92" s="626">
        <v>0</v>
      </c>
      <c r="I92" s="627">
        <v>3970910.9200000027</v>
      </c>
      <c r="J92" s="627">
        <v>144115.06</v>
      </c>
      <c r="K92" s="627">
        <f t="shared" si="2"/>
        <v>4115025.9800000028</v>
      </c>
      <c r="M92" s="627"/>
      <c r="O92" s="627">
        <v>0</v>
      </c>
      <c r="P92" s="627">
        <v>0</v>
      </c>
      <c r="Q92" s="627">
        <v>0</v>
      </c>
      <c r="R92" s="627">
        <v>0</v>
      </c>
      <c r="S92" s="627"/>
      <c r="T92" s="627"/>
      <c r="U92" s="627"/>
      <c r="V92" s="627"/>
      <c r="W92" s="627"/>
      <c r="X92" s="627"/>
      <c r="Y92" s="627"/>
      <c r="Z92" s="627"/>
      <c r="AA92" s="627">
        <f t="shared" si="3"/>
        <v>0</v>
      </c>
    </row>
    <row r="93" spans="1:27">
      <c r="A93" s="238">
        <v>2457</v>
      </c>
      <c r="B93" s="168">
        <v>103384</v>
      </c>
      <c r="C93" s="168" t="s">
        <v>648</v>
      </c>
      <c r="D93" s="168" t="s">
        <v>438</v>
      </c>
      <c r="E93" s="625" t="s">
        <v>539</v>
      </c>
      <c r="F93" s="625" t="s">
        <v>537</v>
      </c>
      <c r="G93" s="626" t="s">
        <v>1018</v>
      </c>
      <c r="I93" s="627">
        <v>786953.4000000027</v>
      </c>
      <c r="J93" s="627">
        <v>8815.5</v>
      </c>
      <c r="K93" s="627">
        <f t="shared" si="2"/>
        <v>795768.9000000027</v>
      </c>
      <c r="M93" s="627"/>
      <c r="O93" s="627">
        <v>0</v>
      </c>
      <c r="P93" s="627">
        <v>0</v>
      </c>
      <c r="Q93" s="627">
        <v>0</v>
      </c>
      <c r="R93" s="627">
        <v>0</v>
      </c>
      <c r="S93" s="627"/>
      <c r="T93" s="627"/>
      <c r="U93" s="627"/>
      <c r="V93" s="627"/>
      <c r="W93" s="627"/>
      <c r="X93" s="627"/>
      <c r="Y93" s="627"/>
      <c r="Z93" s="627"/>
      <c r="AA93" s="627">
        <f t="shared" si="3"/>
        <v>0</v>
      </c>
    </row>
    <row r="94" spans="1:27">
      <c r="A94" s="238">
        <v>2142</v>
      </c>
      <c r="B94" s="168">
        <v>103237</v>
      </c>
      <c r="C94" s="168" t="s">
        <v>649</v>
      </c>
      <c r="D94" s="168" t="s">
        <v>439</v>
      </c>
      <c r="E94" s="625" t="s">
        <v>539</v>
      </c>
      <c r="F94" s="625" t="s">
        <v>537</v>
      </c>
      <c r="G94" s="626" t="s">
        <v>1017</v>
      </c>
      <c r="I94" s="627">
        <v>1177180.0599999989</v>
      </c>
      <c r="J94" s="627">
        <v>29289</v>
      </c>
      <c r="K94" s="627">
        <f t="shared" si="2"/>
        <v>1206469.0599999989</v>
      </c>
      <c r="M94" s="627"/>
      <c r="O94" s="627">
        <v>0</v>
      </c>
      <c r="P94" s="627">
        <v>0</v>
      </c>
      <c r="Q94" s="627">
        <v>0</v>
      </c>
      <c r="R94" s="627">
        <v>0</v>
      </c>
      <c r="S94" s="627"/>
      <c r="T94" s="627"/>
      <c r="U94" s="627"/>
      <c r="V94" s="627"/>
      <c r="W94" s="627"/>
      <c r="X94" s="627"/>
      <c r="Y94" s="627"/>
      <c r="Z94" s="627"/>
      <c r="AA94" s="627">
        <f t="shared" si="3"/>
        <v>0</v>
      </c>
    </row>
    <row r="95" spans="1:27">
      <c r="A95" s="238">
        <v>2469</v>
      </c>
      <c r="B95" s="168">
        <v>103395</v>
      </c>
      <c r="C95" s="168" t="s">
        <v>650</v>
      </c>
      <c r="D95" s="168" t="s">
        <v>440</v>
      </c>
      <c r="E95" s="625" t="s">
        <v>539</v>
      </c>
      <c r="F95" s="625" t="s">
        <v>537</v>
      </c>
      <c r="G95" s="626" t="s">
        <v>1016</v>
      </c>
      <c r="I95" s="627">
        <v>286414</v>
      </c>
      <c r="J95" s="627">
        <v>7645</v>
      </c>
      <c r="K95" s="627">
        <f t="shared" si="2"/>
        <v>294059</v>
      </c>
      <c r="M95" s="627"/>
      <c r="O95" s="627">
        <v>0</v>
      </c>
      <c r="P95" s="627">
        <v>0</v>
      </c>
      <c r="Q95" s="627">
        <v>0</v>
      </c>
      <c r="R95" s="627">
        <v>0</v>
      </c>
      <c r="S95" s="627"/>
      <c r="T95" s="627"/>
      <c r="U95" s="627"/>
      <c r="V95" s="627"/>
      <c r="W95" s="627"/>
      <c r="X95" s="627"/>
      <c r="Y95" s="627"/>
      <c r="Z95" s="627"/>
      <c r="AA95" s="627">
        <f t="shared" si="3"/>
        <v>0</v>
      </c>
    </row>
    <row r="96" spans="1:27">
      <c r="A96" s="238">
        <v>1049</v>
      </c>
      <c r="B96" s="168">
        <v>103145</v>
      </c>
      <c r="C96" s="168" t="s">
        <v>653</v>
      </c>
      <c r="D96" s="168" t="s">
        <v>443</v>
      </c>
      <c r="E96" s="625" t="s">
        <v>536</v>
      </c>
      <c r="F96" s="625" t="s">
        <v>537</v>
      </c>
      <c r="G96" s="626" t="s">
        <v>1016</v>
      </c>
      <c r="I96" s="627">
        <v>514843.26999999973</v>
      </c>
      <c r="J96" s="627">
        <v>3512</v>
      </c>
      <c r="K96" s="627">
        <f t="shared" si="2"/>
        <v>518355.26999999973</v>
      </c>
      <c r="M96" s="627"/>
      <c r="O96" s="627">
        <v>0</v>
      </c>
      <c r="P96" s="627">
        <v>0</v>
      </c>
      <c r="Q96" s="627">
        <v>0</v>
      </c>
      <c r="R96" s="627">
        <v>0</v>
      </c>
      <c r="S96" s="627"/>
      <c r="T96" s="627"/>
      <c r="U96" s="627"/>
      <c r="V96" s="627"/>
      <c r="W96" s="627"/>
      <c r="X96" s="627"/>
      <c r="Y96" s="627"/>
      <c r="Z96" s="627"/>
      <c r="AA96" s="627">
        <f t="shared" si="3"/>
        <v>0</v>
      </c>
    </row>
    <row r="97" spans="1:27">
      <c r="A97" s="238">
        <v>7053</v>
      </c>
      <c r="B97" s="168">
        <v>103628</v>
      </c>
      <c r="C97" s="168" t="s">
        <v>575</v>
      </c>
      <c r="D97" s="168" t="s">
        <v>366</v>
      </c>
      <c r="E97" s="625" t="s">
        <v>541</v>
      </c>
      <c r="F97" s="625" t="s">
        <v>537</v>
      </c>
      <c r="G97" s="626">
        <v>0</v>
      </c>
      <c r="I97" s="627">
        <v>425700.05999999959</v>
      </c>
      <c r="J97" s="627">
        <v>50165</v>
      </c>
      <c r="K97" s="627">
        <f t="shared" si="2"/>
        <v>475865.05999999959</v>
      </c>
      <c r="M97" s="627"/>
      <c r="O97" s="627">
        <v>0</v>
      </c>
      <c r="P97" s="627">
        <v>0</v>
      </c>
      <c r="Q97" s="627">
        <v>0</v>
      </c>
      <c r="R97" s="627">
        <v>0</v>
      </c>
      <c r="S97" s="627"/>
      <c r="T97" s="627"/>
      <c r="U97" s="627"/>
      <c r="V97" s="627"/>
      <c r="W97" s="627"/>
      <c r="X97" s="627"/>
      <c r="Y97" s="627"/>
      <c r="Z97" s="627"/>
      <c r="AA97" s="627">
        <f t="shared" si="3"/>
        <v>0</v>
      </c>
    </row>
    <row r="98" spans="1:27">
      <c r="A98" s="238">
        <v>3351</v>
      </c>
      <c r="B98" s="168">
        <v>103443</v>
      </c>
      <c r="C98" s="168" t="s">
        <v>714</v>
      </c>
      <c r="D98" s="168" t="s">
        <v>503</v>
      </c>
      <c r="E98" s="625" t="s">
        <v>539</v>
      </c>
      <c r="F98" s="625" t="s">
        <v>537</v>
      </c>
      <c r="G98" s="626" t="s">
        <v>1017</v>
      </c>
      <c r="I98" s="627">
        <v>264120.30999999971</v>
      </c>
      <c r="J98" s="627">
        <v>0</v>
      </c>
      <c r="K98" s="627">
        <f t="shared" si="2"/>
        <v>264120.30999999971</v>
      </c>
      <c r="M98" s="627"/>
      <c r="O98" s="627">
        <v>0</v>
      </c>
      <c r="P98" s="627">
        <v>0</v>
      </c>
      <c r="Q98" s="627">
        <v>0</v>
      </c>
      <c r="R98" s="627">
        <v>0</v>
      </c>
      <c r="S98" s="627"/>
      <c r="T98" s="627"/>
      <c r="U98" s="627"/>
      <c r="V98" s="627"/>
      <c r="W98" s="627"/>
      <c r="X98" s="627"/>
      <c r="Y98" s="627"/>
      <c r="Z98" s="627"/>
      <c r="AA98" s="627">
        <f t="shared" si="3"/>
        <v>0</v>
      </c>
    </row>
    <row r="99" spans="1:27">
      <c r="A99" s="238">
        <v>3328</v>
      </c>
      <c r="B99" s="168">
        <v>103430</v>
      </c>
      <c r="C99" s="168" t="s">
        <v>715</v>
      </c>
      <c r="D99" s="168" t="s">
        <v>504</v>
      </c>
      <c r="E99" s="625" t="s">
        <v>539</v>
      </c>
      <c r="F99" s="625" t="s">
        <v>537</v>
      </c>
      <c r="G99" s="626" t="s">
        <v>1017</v>
      </c>
      <c r="I99" s="627">
        <v>313783.02</v>
      </c>
      <c r="J99" s="627">
        <v>0</v>
      </c>
      <c r="K99" s="627">
        <f t="shared" si="2"/>
        <v>313783.02</v>
      </c>
      <c r="M99" s="627"/>
      <c r="O99" s="627">
        <v>0</v>
      </c>
      <c r="P99" s="627">
        <v>0</v>
      </c>
      <c r="Q99" s="627">
        <v>0</v>
      </c>
      <c r="R99" s="627">
        <v>0</v>
      </c>
      <c r="S99" s="627"/>
      <c r="T99" s="627"/>
      <c r="U99" s="627"/>
      <c r="V99" s="627"/>
      <c r="W99" s="627"/>
      <c r="X99" s="627"/>
      <c r="Y99" s="627"/>
      <c r="Z99" s="627"/>
      <c r="AA99" s="627">
        <f t="shared" si="3"/>
        <v>0</v>
      </c>
    </row>
    <row r="100" spans="1:27">
      <c r="A100" s="238">
        <v>1008</v>
      </c>
      <c r="B100" s="168">
        <v>103123</v>
      </c>
      <c r="C100" s="168" t="s">
        <v>656</v>
      </c>
      <c r="D100" s="168" t="s">
        <v>446</v>
      </c>
      <c r="E100" s="625" t="s">
        <v>536</v>
      </c>
      <c r="F100" s="625" t="s">
        <v>537</v>
      </c>
      <c r="G100" s="626" t="s">
        <v>1017</v>
      </c>
      <c r="I100" s="627">
        <v>85700.029999999795</v>
      </c>
      <c r="J100" s="627">
        <v>16426.849999999999</v>
      </c>
      <c r="K100" s="627">
        <f t="shared" si="2"/>
        <v>102126.8799999998</v>
      </c>
      <c r="M100" s="627"/>
      <c r="O100" s="627">
        <v>0</v>
      </c>
      <c r="P100" s="627">
        <v>0</v>
      </c>
      <c r="Q100" s="627">
        <v>0</v>
      </c>
      <c r="R100" s="627">
        <v>0</v>
      </c>
      <c r="S100" s="627"/>
      <c r="T100" s="627"/>
      <c r="U100" s="627"/>
      <c r="V100" s="627"/>
      <c r="W100" s="627"/>
      <c r="X100" s="627"/>
      <c r="Y100" s="627"/>
      <c r="Z100" s="627"/>
      <c r="AA100" s="627">
        <f t="shared" si="3"/>
        <v>0</v>
      </c>
    </row>
    <row r="101" spans="1:27">
      <c r="A101" s="238">
        <v>4173</v>
      </c>
      <c r="B101" s="168">
        <v>103497</v>
      </c>
      <c r="C101" s="168" t="s">
        <v>576</v>
      </c>
      <c r="D101" s="168" t="s">
        <v>367</v>
      </c>
      <c r="E101" s="625" t="s">
        <v>543</v>
      </c>
      <c r="F101" s="625" t="s">
        <v>537</v>
      </c>
      <c r="G101" s="626">
        <v>0</v>
      </c>
      <c r="I101" s="627">
        <v>845675.88642013865</v>
      </c>
      <c r="J101" s="627">
        <v>93376.040000000008</v>
      </c>
      <c r="K101" s="627">
        <f t="shared" si="2"/>
        <v>939051.92642013868</v>
      </c>
      <c r="M101" s="627"/>
      <c r="O101" s="627">
        <v>0</v>
      </c>
      <c r="P101" s="627">
        <v>0</v>
      </c>
      <c r="Q101" s="627">
        <v>0</v>
      </c>
      <c r="R101" s="627">
        <v>0</v>
      </c>
      <c r="S101" s="627"/>
      <c r="T101" s="627"/>
      <c r="U101" s="627"/>
      <c r="V101" s="627"/>
      <c r="W101" s="627"/>
      <c r="X101" s="627"/>
      <c r="Y101" s="627"/>
      <c r="Z101" s="627"/>
      <c r="AA101" s="627">
        <f t="shared" si="3"/>
        <v>0</v>
      </c>
    </row>
    <row r="102" spans="1:27">
      <c r="A102" s="238">
        <v>2159</v>
      </c>
      <c r="B102" s="168">
        <v>103247</v>
      </c>
      <c r="C102" s="168" t="s">
        <v>659</v>
      </c>
      <c r="D102" s="168" t="s">
        <v>449</v>
      </c>
      <c r="E102" s="625" t="s">
        <v>539</v>
      </c>
      <c r="F102" s="625" t="s">
        <v>537</v>
      </c>
      <c r="G102" s="626" t="s">
        <v>1017</v>
      </c>
      <c r="I102" s="627">
        <v>8370.5500000001957</v>
      </c>
      <c r="J102" s="627">
        <v>361.80000000000109</v>
      </c>
      <c r="K102" s="627">
        <f t="shared" si="2"/>
        <v>8732.3500000001968</v>
      </c>
      <c r="M102" s="627"/>
      <c r="O102" s="627">
        <v>0</v>
      </c>
      <c r="P102" s="627">
        <v>0</v>
      </c>
      <c r="Q102" s="627">
        <v>0</v>
      </c>
      <c r="R102" s="627">
        <v>0</v>
      </c>
      <c r="S102" s="627"/>
      <c r="T102" s="627"/>
      <c r="U102" s="627"/>
      <c r="V102" s="627"/>
      <c r="W102" s="627"/>
      <c r="X102" s="627"/>
      <c r="Y102" s="627"/>
      <c r="Z102" s="627"/>
      <c r="AA102" s="627">
        <f t="shared" si="3"/>
        <v>0</v>
      </c>
    </row>
    <row r="103" spans="1:27">
      <c r="A103" s="238">
        <v>2161</v>
      </c>
      <c r="B103" s="168">
        <v>103249</v>
      </c>
      <c r="C103" s="168" t="s">
        <v>660</v>
      </c>
      <c r="D103" s="168" t="s">
        <v>450</v>
      </c>
      <c r="E103" s="625" t="s">
        <v>539</v>
      </c>
      <c r="F103" s="625" t="s">
        <v>537</v>
      </c>
      <c r="G103" s="626" t="s">
        <v>1017</v>
      </c>
      <c r="I103" s="627">
        <v>330678.10999999952</v>
      </c>
      <c r="J103" s="627">
        <v>12036.91</v>
      </c>
      <c r="K103" s="627">
        <f t="shared" si="2"/>
        <v>342715.01999999949</v>
      </c>
      <c r="M103" s="627"/>
      <c r="O103" s="627">
        <v>0</v>
      </c>
      <c r="P103" s="627">
        <v>0</v>
      </c>
      <c r="Q103" s="627">
        <v>0</v>
      </c>
      <c r="R103" s="627">
        <v>0</v>
      </c>
      <c r="S103" s="627"/>
      <c r="T103" s="627"/>
      <c r="U103" s="627"/>
      <c r="V103" s="627"/>
      <c r="W103" s="627"/>
      <c r="X103" s="627"/>
      <c r="Y103" s="627"/>
      <c r="Z103" s="627"/>
      <c r="AA103" s="627">
        <f t="shared" si="3"/>
        <v>0</v>
      </c>
    </row>
    <row r="104" spans="1:27">
      <c r="A104" s="238">
        <v>2160</v>
      </c>
      <c r="B104" s="168">
        <v>103248</v>
      </c>
      <c r="C104" s="168" t="s">
        <v>716</v>
      </c>
      <c r="D104" s="168" t="s">
        <v>505</v>
      </c>
      <c r="E104" s="625" t="s">
        <v>539</v>
      </c>
      <c r="F104" s="625" t="s">
        <v>537</v>
      </c>
      <c r="G104" s="626" t="s">
        <v>1017</v>
      </c>
      <c r="I104" s="627">
        <v>206566.35000000038</v>
      </c>
      <c r="J104" s="627">
        <v>4170.8</v>
      </c>
      <c r="K104" s="627">
        <f t="shared" si="2"/>
        <v>210737.15000000037</v>
      </c>
      <c r="M104" s="627"/>
      <c r="O104" s="627">
        <v>0</v>
      </c>
      <c r="P104" s="627">
        <v>0</v>
      </c>
      <c r="Q104" s="627">
        <v>0</v>
      </c>
      <c r="R104" s="627">
        <v>0</v>
      </c>
      <c r="S104" s="627"/>
      <c r="T104" s="627"/>
      <c r="U104" s="627"/>
      <c r="V104" s="627"/>
      <c r="W104" s="627"/>
      <c r="X104" s="627"/>
      <c r="Y104" s="627"/>
      <c r="Z104" s="627"/>
      <c r="AA104" s="627">
        <f t="shared" si="3"/>
        <v>0</v>
      </c>
    </row>
    <row r="105" spans="1:27">
      <c r="A105" s="238">
        <v>2063</v>
      </c>
      <c r="B105" s="168">
        <v>103193</v>
      </c>
      <c r="C105" s="168" t="s">
        <v>717</v>
      </c>
      <c r="D105" s="168" t="s">
        <v>506</v>
      </c>
      <c r="E105" s="625" t="s">
        <v>539</v>
      </c>
      <c r="F105" s="625" t="s">
        <v>537</v>
      </c>
      <c r="G105" s="626" t="s">
        <v>1017</v>
      </c>
      <c r="I105" s="627">
        <v>148415.73000000251</v>
      </c>
      <c r="J105" s="627">
        <v>54056.579999999994</v>
      </c>
      <c r="K105" s="627">
        <f t="shared" si="2"/>
        <v>202472.3100000025</v>
      </c>
      <c r="M105" s="627"/>
      <c r="O105" s="627">
        <v>0</v>
      </c>
      <c r="P105" s="627">
        <v>0</v>
      </c>
      <c r="Q105" s="627">
        <v>0</v>
      </c>
      <c r="R105" s="627">
        <v>0</v>
      </c>
      <c r="S105" s="627"/>
      <c r="T105" s="627"/>
      <c r="U105" s="627"/>
      <c r="V105" s="627"/>
      <c r="W105" s="627"/>
      <c r="X105" s="627"/>
      <c r="Y105" s="627"/>
      <c r="Z105" s="627"/>
      <c r="AA105" s="627">
        <f t="shared" si="3"/>
        <v>0</v>
      </c>
    </row>
    <row r="106" spans="1:27">
      <c r="A106" s="238">
        <v>1018</v>
      </c>
      <c r="B106" s="168">
        <v>103131</v>
      </c>
      <c r="C106" s="168" t="s">
        <v>661</v>
      </c>
      <c r="D106" s="168" t="s">
        <v>451</v>
      </c>
      <c r="E106" s="625" t="s">
        <v>536</v>
      </c>
      <c r="F106" s="625" t="s">
        <v>537</v>
      </c>
      <c r="G106" s="626" t="s">
        <v>1016</v>
      </c>
      <c r="I106" s="627">
        <v>293583.9599999999</v>
      </c>
      <c r="J106" s="627">
        <v>32907.57</v>
      </c>
      <c r="K106" s="627">
        <f t="shared" si="2"/>
        <v>326491.52999999991</v>
      </c>
      <c r="M106" s="627"/>
      <c r="O106" s="627">
        <v>0</v>
      </c>
      <c r="P106" s="627">
        <v>0</v>
      </c>
      <c r="Q106" s="627">
        <v>0</v>
      </c>
      <c r="R106" s="627">
        <v>0</v>
      </c>
      <c r="S106" s="627"/>
      <c r="T106" s="627"/>
      <c r="U106" s="627"/>
      <c r="V106" s="627"/>
      <c r="W106" s="627"/>
      <c r="X106" s="627"/>
      <c r="Y106" s="627"/>
      <c r="Z106" s="627"/>
      <c r="AA106" s="627">
        <f t="shared" si="3"/>
        <v>0</v>
      </c>
    </row>
    <row r="107" spans="1:27">
      <c r="A107" s="238">
        <v>7033</v>
      </c>
      <c r="B107" s="168">
        <v>103613</v>
      </c>
      <c r="C107" s="168" t="s">
        <v>577</v>
      </c>
      <c r="D107" s="168" t="s">
        <v>368</v>
      </c>
      <c r="E107" s="625" t="s">
        <v>541</v>
      </c>
      <c r="F107" s="625" t="s">
        <v>537</v>
      </c>
      <c r="G107" s="626">
        <v>0</v>
      </c>
      <c r="I107" s="627">
        <v>155979</v>
      </c>
      <c r="J107" s="627">
        <v>100451</v>
      </c>
      <c r="K107" s="627">
        <f t="shared" si="2"/>
        <v>256430</v>
      </c>
      <c r="M107" s="627"/>
      <c r="O107" s="627">
        <v>0</v>
      </c>
      <c r="P107" s="627">
        <v>0</v>
      </c>
      <c r="Q107" s="627">
        <v>0</v>
      </c>
      <c r="R107" s="627">
        <v>0</v>
      </c>
      <c r="S107" s="627"/>
      <c r="T107" s="627"/>
      <c r="U107" s="627"/>
      <c r="V107" s="627"/>
      <c r="W107" s="627"/>
      <c r="X107" s="627"/>
      <c r="Y107" s="627"/>
      <c r="Z107" s="627"/>
      <c r="AA107" s="627">
        <f t="shared" si="3"/>
        <v>0</v>
      </c>
    </row>
    <row r="108" spans="1:27">
      <c r="A108" s="238">
        <v>4177</v>
      </c>
      <c r="B108" s="168">
        <v>103498</v>
      </c>
      <c r="C108" s="168" t="s">
        <v>578</v>
      </c>
      <c r="D108" s="168" t="s">
        <v>369</v>
      </c>
      <c r="E108" s="625" t="s">
        <v>543</v>
      </c>
      <c r="F108" s="625" t="s">
        <v>537</v>
      </c>
      <c r="G108" s="626">
        <v>0</v>
      </c>
      <c r="I108" s="627">
        <v>457266</v>
      </c>
      <c r="J108" s="627">
        <v>33720</v>
      </c>
      <c r="K108" s="627">
        <f t="shared" si="2"/>
        <v>490986</v>
      </c>
      <c r="M108" s="627"/>
      <c r="O108" s="627">
        <v>0</v>
      </c>
      <c r="P108" s="627">
        <v>0</v>
      </c>
      <c r="Q108" s="627">
        <v>0</v>
      </c>
      <c r="R108" s="627">
        <v>0</v>
      </c>
      <c r="S108" s="627"/>
      <c r="T108" s="627"/>
      <c r="U108" s="627"/>
      <c r="V108" s="627"/>
      <c r="W108" s="627"/>
      <c r="X108" s="627"/>
      <c r="Y108" s="627"/>
      <c r="Z108" s="627"/>
      <c r="AA108" s="627">
        <f t="shared" si="3"/>
        <v>0</v>
      </c>
    </row>
    <row r="109" spans="1:27">
      <c r="A109" s="238">
        <v>2169</v>
      </c>
      <c r="B109" s="168">
        <v>103252</v>
      </c>
      <c r="C109" s="168" t="s">
        <v>663</v>
      </c>
      <c r="D109" s="168" t="s">
        <v>453</v>
      </c>
      <c r="E109" s="625" t="s">
        <v>539</v>
      </c>
      <c r="F109" s="625" t="s">
        <v>537</v>
      </c>
      <c r="G109" s="626" t="s">
        <v>1017</v>
      </c>
      <c r="I109" s="627">
        <v>606867.83000000613</v>
      </c>
      <c r="J109" s="627">
        <v>40193.99</v>
      </c>
      <c r="K109" s="627">
        <f t="shared" si="2"/>
        <v>647061.82000000612</v>
      </c>
      <c r="M109" s="627"/>
      <c r="O109" s="627">
        <v>0</v>
      </c>
      <c r="P109" s="627">
        <v>0</v>
      </c>
      <c r="Q109" s="627">
        <v>0</v>
      </c>
      <c r="R109" s="627">
        <v>0</v>
      </c>
      <c r="S109" s="627"/>
      <c r="T109" s="627"/>
      <c r="U109" s="627"/>
      <c r="V109" s="627"/>
      <c r="W109" s="627"/>
      <c r="X109" s="627"/>
      <c r="Y109" s="627"/>
      <c r="Z109" s="627"/>
      <c r="AA109" s="627">
        <f t="shared" si="3"/>
        <v>0</v>
      </c>
    </row>
    <row r="110" spans="1:27">
      <c r="A110" s="238">
        <v>2008</v>
      </c>
      <c r="B110" s="168">
        <v>103157</v>
      </c>
      <c r="C110" s="168" t="s">
        <v>718</v>
      </c>
      <c r="D110" s="168" t="s">
        <v>507</v>
      </c>
      <c r="E110" s="625" t="s">
        <v>539</v>
      </c>
      <c r="F110" s="625" t="s">
        <v>537</v>
      </c>
      <c r="G110" s="626" t="s">
        <v>1017</v>
      </c>
      <c r="I110" s="627">
        <v>246208.84000000049</v>
      </c>
      <c r="J110" s="627">
        <v>17766.43</v>
      </c>
      <c r="K110" s="627">
        <f t="shared" si="2"/>
        <v>263975.27000000048</v>
      </c>
      <c r="M110" s="627"/>
      <c r="O110" s="627">
        <v>0</v>
      </c>
      <c r="P110" s="627">
        <v>0</v>
      </c>
      <c r="Q110" s="627">
        <v>0</v>
      </c>
      <c r="R110" s="627">
        <v>0</v>
      </c>
      <c r="S110" s="627"/>
      <c r="T110" s="627"/>
      <c r="U110" s="627"/>
      <c r="V110" s="627"/>
      <c r="W110" s="627"/>
      <c r="X110" s="627"/>
      <c r="Y110" s="627"/>
      <c r="Z110" s="627"/>
      <c r="AA110" s="627">
        <f t="shared" si="3"/>
        <v>0</v>
      </c>
    </row>
    <row r="111" spans="1:27">
      <c r="A111" s="238">
        <v>1038</v>
      </c>
      <c r="B111" s="168">
        <v>103142</v>
      </c>
      <c r="C111" s="168" t="s">
        <v>579</v>
      </c>
      <c r="D111" s="168" t="s">
        <v>370</v>
      </c>
      <c r="E111" s="625" t="s">
        <v>536</v>
      </c>
      <c r="F111" s="625" t="s">
        <v>537</v>
      </c>
      <c r="G111" s="626">
        <v>0</v>
      </c>
      <c r="I111" s="627">
        <v>102220.76599999983</v>
      </c>
      <c r="J111" s="627">
        <v>20556.410000000003</v>
      </c>
      <c r="K111" s="627">
        <f t="shared" si="2"/>
        <v>122777.17599999983</v>
      </c>
      <c r="M111" s="627"/>
      <c r="O111" s="627">
        <v>0</v>
      </c>
      <c r="P111" s="627">
        <v>0</v>
      </c>
      <c r="Q111" s="627">
        <v>0</v>
      </c>
      <c r="R111" s="627">
        <v>0</v>
      </c>
      <c r="S111" s="627"/>
      <c r="T111" s="627"/>
      <c r="U111" s="627"/>
      <c r="V111" s="627"/>
      <c r="W111" s="627"/>
      <c r="X111" s="627"/>
      <c r="Y111" s="627"/>
      <c r="Z111" s="627"/>
      <c r="AA111" s="627">
        <f t="shared" si="3"/>
        <v>0</v>
      </c>
    </row>
    <row r="112" spans="1:27">
      <c r="A112" s="238">
        <v>2174</v>
      </c>
      <c r="B112" s="168">
        <v>103255</v>
      </c>
      <c r="C112" s="168" t="s">
        <v>580</v>
      </c>
      <c r="D112" s="168" t="s">
        <v>371</v>
      </c>
      <c r="E112" s="625" t="s">
        <v>539</v>
      </c>
      <c r="F112" s="625" t="s">
        <v>537</v>
      </c>
      <c r="G112" s="626">
        <v>0</v>
      </c>
      <c r="I112" s="627">
        <v>168806.53999999893</v>
      </c>
      <c r="J112" s="627">
        <v>0.25</v>
      </c>
      <c r="K112" s="627">
        <f t="shared" si="2"/>
        <v>168806.78999999893</v>
      </c>
      <c r="M112" s="627"/>
      <c r="O112" s="627">
        <v>0</v>
      </c>
      <c r="P112" s="627">
        <v>0</v>
      </c>
      <c r="Q112" s="627">
        <v>75000</v>
      </c>
      <c r="R112" s="627">
        <v>0</v>
      </c>
      <c r="S112" s="627"/>
      <c r="T112" s="627"/>
      <c r="U112" s="627"/>
      <c r="V112" s="627"/>
      <c r="W112" s="627"/>
      <c r="X112" s="627"/>
      <c r="Y112" s="627"/>
      <c r="Z112" s="627"/>
      <c r="AA112" s="627">
        <f t="shared" si="3"/>
        <v>75000</v>
      </c>
    </row>
    <row r="113" spans="1:27">
      <c r="A113" s="238">
        <v>2176</v>
      </c>
      <c r="B113" s="168">
        <v>103256</v>
      </c>
      <c r="C113" s="168" t="s">
        <v>719</v>
      </c>
      <c r="D113" s="168" t="s">
        <v>508</v>
      </c>
      <c r="E113" s="625" t="s">
        <v>539</v>
      </c>
      <c r="F113" s="625" t="s">
        <v>537</v>
      </c>
      <c r="G113" s="626" t="s">
        <v>1016</v>
      </c>
      <c r="I113" s="627">
        <v>410224</v>
      </c>
      <c r="J113" s="627">
        <v>9805</v>
      </c>
      <c r="K113" s="627">
        <f t="shared" si="2"/>
        <v>420029</v>
      </c>
      <c r="M113" s="627"/>
      <c r="O113" s="627">
        <v>0</v>
      </c>
      <c r="P113" s="627">
        <v>0</v>
      </c>
      <c r="Q113" s="627">
        <v>0</v>
      </c>
      <c r="R113" s="627">
        <v>0</v>
      </c>
      <c r="S113" s="627"/>
      <c r="T113" s="627"/>
      <c r="U113" s="627"/>
      <c r="V113" s="627"/>
      <c r="W113" s="627"/>
      <c r="X113" s="627"/>
      <c r="Y113" s="627"/>
      <c r="Z113" s="627"/>
      <c r="AA113" s="627">
        <f t="shared" si="3"/>
        <v>0</v>
      </c>
    </row>
    <row r="114" spans="1:27">
      <c r="A114" s="238">
        <v>7047</v>
      </c>
      <c r="B114" s="168">
        <v>103623</v>
      </c>
      <c r="C114" s="168" t="s">
        <v>664</v>
      </c>
      <c r="D114" s="168" t="s">
        <v>454</v>
      </c>
      <c r="E114" s="625" t="s">
        <v>541</v>
      </c>
      <c r="F114" s="625" t="s">
        <v>537</v>
      </c>
      <c r="G114" s="626" t="s">
        <v>1017</v>
      </c>
      <c r="I114" s="627">
        <v>-397009.12999999442</v>
      </c>
      <c r="J114" s="627">
        <v>21896.129999999997</v>
      </c>
      <c r="K114" s="627">
        <f t="shared" si="2"/>
        <v>-375112.99999999441</v>
      </c>
      <c r="M114" s="627"/>
      <c r="O114" s="627">
        <v>0</v>
      </c>
      <c r="P114" s="627">
        <v>0</v>
      </c>
      <c r="Q114" s="627">
        <v>0</v>
      </c>
      <c r="R114" s="627">
        <v>0</v>
      </c>
      <c r="S114" s="627"/>
      <c r="T114" s="627"/>
      <c r="U114" s="627"/>
      <c r="V114" s="627"/>
      <c r="W114" s="627"/>
      <c r="X114" s="627"/>
      <c r="Y114" s="627"/>
      <c r="Z114" s="627"/>
      <c r="AA114" s="627">
        <f t="shared" si="3"/>
        <v>0</v>
      </c>
    </row>
    <row r="115" spans="1:27">
      <c r="A115" s="238">
        <v>3410</v>
      </c>
      <c r="B115" s="168">
        <v>103478</v>
      </c>
      <c r="C115" s="168" t="s">
        <v>720</v>
      </c>
      <c r="D115" s="168" t="s">
        <v>509</v>
      </c>
      <c r="E115" s="625" t="s">
        <v>539</v>
      </c>
      <c r="F115" s="625" t="s">
        <v>537</v>
      </c>
      <c r="G115" s="626" t="s">
        <v>1017</v>
      </c>
      <c r="I115" s="627">
        <v>224620.9800000001</v>
      </c>
      <c r="J115" s="627">
        <v>0</v>
      </c>
      <c r="K115" s="627">
        <f t="shared" si="2"/>
        <v>224620.9800000001</v>
      </c>
      <c r="M115" s="627"/>
      <c r="O115" s="627">
        <v>0</v>
      </c>
      <c r="P115" s="627">
        <v>0</v>
      </c>
      <c r="Q115" s="627">
        <v>0</v>
      </c>
      <c r="R115" s="627">
        <v>0</v>
      </c>
      <c r="S115" s="627"/>
      <c r="T115" s="627"/>
      <c r="U115" s="627"/>
      <c r="V115" s="627"/>
      <c r="W115" s="627"/>
      <c r="X115" s="627"/>
      <c r="Y115" s="627"/>
      <c r="Z115" s="627"/>
      <c r="AA115" s="627">
        <f t="shared" si="3"/>
        <v>0</v>
      </c>
    </row>
    <row r="116" spans="1:27">
      <c r="A116" s="238">
        <v>3381</v>
      </c>
      <c r="B116" s="168">
        <v>103466</v>
      </c>
      <c r="C116" s="168" t="s">
        <v>665</v>
      </c>
      <c r="D116" s="168" t="s">
        <v>455</v>
      </c>
      <c r="E116" s="625" t="s">
        <v>539</v>
      </c>
      <c r="F116" s="625" t="s">
        <v>537</v>
      </c>
      <c r="G116" s="626" t="s">
        <v>1016</v>
      </c>
      <c r="I116" s="627">
        <v>42150.669999999802</v>
      </c>
      <c r="J116" s="627">
        <v>0</v>
      </c>
      <c r="K116" s="627">
        <f t="shared" si="2"/>
        <v>42150.669999999802</v>
      </c>
      <c r="M116" s="627"/>
      <c r="O116" s="627">
        <v>40000</v>
      </c>
      <c r="P116" s="627">
        <v>0</v>
      </c>
      <c r="Q116" s="627">
        <v>-40000</v>
      </c>
      <c r="R116" s="627">
        <v>0</v>
      </c>
      <c r="S116" s="627"/>
      <c r="T116" s="627"/>
      <c r="U116" s="627"/>
      <c r="V116" s="627"/>
      <c r="W116" s="627"/>
      <c r="X116" s="627"/>
      <c r="Y116" s="627"/>
      <c r="Z116" s="627"/>
      <c r="AA116" s="627">
        <f t="shared" si="3"/>
        <v>0</v>
      </c>
    </row>
    <row r="117" spans="1:27">
      <c r="A117" s="238">
        <v>3335</v>
      </c>
      <c r="B117" s="168">
        <v>103434</v>
      </c>
      <c r="C117" s="168" t="s">
        <v>722</v>
      </c>
      <c r="D117" s="168" t="s">
        <v>511</v>
      </c>
      <c r="E117" s="625" t="s">
        <v>539</v>
      </c>
      <c r="F117" s="625" t="s">
        <v>537</v>
      </c>
      <c r="G117" s="626" t="s">
        <v>1017</v>
      </c>
      <c r="I117" s="627">
        <v>-105421.71999999808</v>
      </c>
      <c r="J117" s="627">
        <v>0</v>
      </c>
      <c r="K117" s="627">
        <f t="shared" si="2"/>
        <v>-105421.71999999808</v>
      </c>
      <c r="M117" s="627"/>
      <c r="O117" s="627">
        <v>0</v>
      </c>
      <c r="P117" s="627">
        <v>0</v>
      </c>
      <c r="Q117" s="627">
        <v>0</v>
      </c>
      <c r="R117" s="627">
        <v>0</v>
      </c>
      <c r="S117" s="627"/>
      <c r="T117" s="627"/>
      <c r="U117" s="627"/>
      <c r="V117" s="627"/>
      <c r="W117" s="627"/>
      <c r="X117" s="627"/>
      <c r="Y117" s="627"/>
      <c r="Z117" s="627"/>
      <c r="AA117" s="627">
        <f t="shared" si="3"/>
        <v>0</v>
      </c>
    </row>
    <row r="118" spans="1:27">
      <c r="A118" s="238">
        <v>2183</v>
      </c>
      <c r="B118" s="168">
        <v>103261</v>
      </c>
      <c r="C118" s="168" t="s">
        <v>667</v>
      </c>
      <c r="D118" s="168" t="s">
        <v>457</v>
      </c>
      <c r="E118" s="625" t="s">
        <v>539</v>
      </c>
      <c r="F118" s="625" t="s">
        <v>537</v>
      </c>
      <c r="G118" s="626" t="s">
        <v>1016</v>
      </c>
      <c r="I118" s="627">
        <v>245176.52000000107</v>
      </c>
      <c r="J118" s="627">
        <v>0</v>
      </c>
      <c r="K118" s="627">
        <f t="shared" si="2"/>
        <v>245176.52000000107</v>
      </c>
      <c r="M118" s="627"/>
      <c r="O118" s="627">
        <v>0</v>
      </c>
      <c r="P118" s="627">
        <v>0</v>
      </c>
      <c r="Q118" s="627">
        <v>0</v>
      </c>
      <c r="R118" s="627">
        <v>0</v>
      </c>
      <c r="S118" s="627"/>
      <c r="T118" s="627"/>
      <c r="U118" s="627"/>
      <c r="V118" s="627"/>
      <c r="W118" s="627"/>
      <c r="X118" s="627"/>
      <c r="Y118" s="627"/>
      <c r="Z118" s="627"/>
      <c r="AA118" s="627">
        <f t="shared" si="3"/>
        <v>0</v>
      </c>
    </row>
    <row r="119" spans="1:27">
      <c r="A119" s="238">
        <v>3372</v>
      </c>
      <c r="B119" s="168">
        <v>103460</v>
      </c>
      <c r="C119" s="168" t="s">
        <v>723</v>
      </c>
      <c r="D119" s="168" t="s">
        <v>512</v>
      </c>
      <c r="E119" s="625" t="s">
        <v>539</v>
      </c>
      <c r="F119" s="625" t="s">
        <v>537</v>
      </c>
      <c r="G119" s="626" t="s">
        <v>1017</v>
      </c>
      <c r="I119" s="627">
        <v>473047.099999998</v>
      </c>
      <c r="J119" s="627">
        <v>0</v>
      </c>
      <c r="K119" s="627">
        <f t="shared" si="2"/>
        <v>473047.099999998</v>
      </c>
      <c r="M119" s="627"/>
      <c r="O119" s="627">
        <v>0</v>
      </c>
      <c r="P119" s="627">
        <v>0</v>
      </c>
      <c r="Q119" s="627">
        <v>0</v>
      </c>
      <c r="R119" s="627">
        <v>0</v>
      </c>
      <c r="S119" s="627"/>
      <c r="T119" s="627"/>
      <c r="U119" s="627"/>
      <c r="V119" s="627"/>
      <c r="W119" s="627"/>
      <c r="X119" s="627"/>
      <c r="Y119" s="627"/>
      <c r="Z119" s="627"/>
      <c r="AA119" s="627">
        <f t="shared" si="3"/>
        <v>0</v>
      </c>
    </row>
    <row r="120" spans="1:27">
      <c r="A120" s="238">
        <v>3375</v>
      </c>
      <c r="B120" s="168">
        <v>103462</v>
      </c>
      <c r="C120" s="168" t="s">
        <v>600</v>
      </c>
      <c r="D120" s="168" t="s">
        <v>390</v>
      </c>
      <c r="E120" s="625" t="s">
        <v>539</v>
      </c>
      <c r="F120" s="625" t="s">
        <v>537</v>
      </c>
      <c r="G120" s="626">
        <v>0</v>
      </c>
      <c r="I120" s="627">
        <v>399442.97999999986</v>
      </c>
      <c r="J120" s="627">
        <v>0</v>
      </c>
      <c r="K120" s="627">
        <f t="shared" si="2"/>
        <v>399442.97999999986</v>
      </c>
      <c r="M120" s="627"/>
      <c r="O120" s="627">
        <v>0</v>
      </c>
      <c r="P120" s="627">
        <v>0</v>
      </c>
      <c r="Q120" s="627">
        <v>0</v>
      </c>
      <c r="R120" s="627">
        <v>0</v>
      </c>
      <c r="S120" s="627"/>
      <c r="T120" s="627"/>
      <c r="U120" s="627"/>
      <c r="V120" s="627"/>
      <c r="W120" s="627"/>
      <c r="X120" s="627"/>
      <c r="Y120" s="627"/>
      <c r="Z120" s="627"/>
      <c r="AA120" s="627">
        <f t="shared" si="3"/>
        <v>0</v>
      </c>
    </row>
    <row r="121" spans="1:27">
      <c r="A121" s="238">
        <v>3331</v>
      </c>
      <c r="B121" s="168">
        <v>103433</v>
      </c>
      <c r="C121" s="168" t="s">
        <v>668</v>
      </c>
      <c r="D121" s="168" t="s">
        <v>458</v>
      </c>
      <c r="E121" s="625" t="s">
        <v>539</v>
      </c>
      <c r="F121" s="625" t="s">
        <v>537</v>
      </c>
      <c r="G121" s="626" t="s">
        <v>1017</v>
      </c>
      <c r="I121" s="627">
        <v>78838.26999999932</v>
      </c>
      <c r="J121" s="627">
        <v>0</v>
      </c>
      <c r="K121" s="627">
        <f t="shared" si="2"/>
        <v>78838.26999999932</v>
      </c>
      <c r="M121" s="627"/>
      <c r="O121" s="627">
        <v>0</v>
      </c>
      <c r="P121" s="627">
        <v>0</v>
      </c>
      <c r="Q121" s="627">
        <v>0</v>
      </c>
      <c r="R121" s="627">
        <v>0</v>
      </c>
      <c r="S121" s="627"/>
      <c r="T121" s="627"/>
      <c r="U121" s="627"/>
      <c r="V121" s="627"/>
      <c r="W121" s="627"/>
      <c r="X121" s="627"/>
      <c r="Y121" s="627"/>
      <c r="Z121" s="627"/>
      <c r="AA121" s="627">
        <f t="shared" si="3"/>
        <v>0</v>
      </c>
    </row>
    <row r="122" spans="1:27">
      <c r="A122" s="238">
        <v>3386</v>
      </c>
      <c r="B122" s="168">
        <v>103470</v>
      </c>
      <c r="C122" s="168" t="s">
        <v>670</v>
      </c>
      <c r="D122" s="168" t="s">
        <v>460</v>
      </c>
      <c r="E122" s="625" t="s">
        <v>539</v>
      </c>
      <c r="F122" s="625" t="s">
        <v>537</v>
      </c>
      <c r="G122" s="626" t="s">
        <v>1017</v>
      </c>
      <c r="I122" s="627">
        <v>208955.49999999892</v>
      </c>
      <c r="J122" s="627">
        <v>0</v>
      </c>
      <c r="K122" s="627">
        <f t="shared" si="2"/>
        <v>208955.49999999892</v>
      </c>
      <c r="M122" s="627"/>
      <c r="O122" s="627">
        <v>0</v>
      </c>
      <c r="P122" s="627">
        <v>0</v>
      </c>
      <c r="Q122" s="627">
        <v>0</v>
      </c>
      <c r="R122" s="627">
        <v>0</v>
      </c>
      <c r="S122" s="627"/>
      <c r="T122" s="627"/>
      <c r="U122" s="627"/>
      <c r="V122" s="627"/>
      <c r="W122" s="627"/>
      <c r="X122" s="627"/>
      <c r="Y122" s="627"/>
      <c r="Z122" s="627"/>
      <c r="AA122" s="627">
        <f t="shared" si="3"/>
        <v>0</v>
      </c>
    </row>
    <row r="123" spans="1:27">
      <c r="A123" s="238">
        <v>3363</v>
      </c>
      <c r="B123" s="168">
        <v>103455</v>
      </c>
      <c r="C123" s="168" t="s">
        <v>581</v>
      </c>
      <c r="D123" s="168" t="s">
        <v>372</v>
      </c>
      <c r="E123" s="625" t="s">
        <v>539</v>
      </c>
      <c r="F123" s="625" t="s">
        <v>537</v>
      </c>
      <c r="G123" s="626">
        <v>0</v>
      </c>
      <c r="I123" s="627">
        <v>133538.21999999939</v>
      </c>
      <c r="J123" s="627">
        <v>0</v>
      </c>
      <c r="K123" s="627">
        <f t="shared" si="2"/>
        <v>133538.21999999939</v>
      </c>
      <c r="M123" s="627"/>
      <c r="O123" s="627">
        <v>0</v>
      </c>
      <c r="P123" s="627">
        <v>0</v>
      </c>
      <c r="Q123" s="627">
        <v>0</v>
      </c>
      <c r="R123" s="627">
        <v>0</v>
      </c>
      <c r="S123" s="627"/>
      <c r="T123" s="627"/>
      <c r="U123" s="627"/>
      <c r="V123" s="627"/>
      <c r="W123" s="627"/>
      <c r="X123" s="627"/>
      <c r="Y123" s="627"/>
      <c r="Z123" s="627"/>
      <c r="AA123" s="627">
        <f t="shared" si="3"/>
        <v>0</v>
      </c>
    </row>
    <row r="124" spans="1:27">
      <c r="A124" s="238">
        <v>3355</v>
      </c>
      <c r="B124" s="168">
        <v>103447</v>
      </c>
      <c r="C124" s="168" t="s">
        <v>724</v>
      </c>
      <c r="D124" s="168" t="s">
        <v>513</v>
      </c>
      <c r="E124" s="625" t="s">
        <v>539</v>
      </c>
      <c r="F124" s="625" t="s">
        <v>537</v>
      </c>
      <c r="G124" s="626" t="s">
        <v>1017</v>
      </c>
      <c r="I124" s="627">
        <v>391034.76000000234</v>
      </c>
      <c r="J124" s="627">
        <v>0</v>
      </c>
      <c r="K124" s="627">
        <f t="shared" si="2"/>
        <v>391034.76000000234</v>
      </c>
      <c r="M124" s="627"/>
      <c r="O124" s="627">
        <v>0</v>
      </c>
      <c r="P124" s="627">
        <v>0</v>
      </c>
      <c r="Q124" s="627">
        <v>0</v>
      </c>
      <c r="R124" s="627">
        <v>0</v>
      </c>
      <c r="S124" s="627"/>
      <c r="T124" s="627"/>
      <c r="U124" s="627"/>
      <c r="V124" s="627"/>
      <c r="W124" s="627"/>
      <c r="X124" s="627"/>
      <c r="Y124" s="627"/>
      <c r="Z124" s="627"/>
      <c r="AA124" s="627">
        <f t="shared" si="3"/>
        <v>0</v>
      </c>
    </row>
    <row r="125" spans="1:27">
      <c r="A125" s="238">
        <v>3367</v>
      </c>
      <c r="B125" s="168">
        <v>103458</v>
      </c>
      <c r="C125" s="168" t="s">
        <v>725</v>
      </c>
      <c r="D125" s="168" t="s">
        <v>514</v>
      </c>
      <c r="E125" s="625" t="s">
        <v>539</v>
      </c>
      <c r="F125" s="625" t="s">
        <v>537</v>
      </c>
      <c r="G125" s="626" t="s">
        <v>1017</v>
      </c>
      <c r="I125" s="627">
        <v>35570.260000001064</v>
      </c>
      <c r="J125" s="627">
        <v>0</v>
      </c>
      <c r="K125" s="627">
        <f t="shared" si="2"/>
        <v>35570.260000001064</v>
      </c>
      <c r="M125" s="627"/>
      <c r="O125" s="627">
        <v>0</v>
      </c>
      <c r="P125" s="627">
        <v>0</v>
      </c>
      <c r="Q125" s="627">
        <v>0</v>
      </c>
      <c r="R125" s="627">
        <v>0</v>
      </c>
      <c r="S125" s="627"/>
      <c r="T125" s="627"/>
      <c r="U125" s="627"/>
      <c r="V125" s="627"/>
      <c r="W125" s="627"/>
      <c r="X125" s="627"/>
      <c r="Y125" s="627"/>
      <c r="Z125" s="627"/>
      <c r="AA125" s="627">
        <f t="shared" si="3"/>
        <v>0</v>
      </c>
    </row>
    <row r="126" spans="1:27">
      <c r="A126" s="238">
        <v>3010</v>
      </c>
      <c r="B126" s="168">
        <v>103401</v>
      </c>
      <c r="C126" s="168" t="s">
        <v>672</v>
      </c>
      <c r="D126" s="168" t="s">
        <v>462</v>
      </c>
      <c r="E126" s="625" t="s">
        <v>539</v>
      </c>
      <c r="F126" s="625" t="s">
        <v>537</v>
      </c>
      <c r="G126" s="626" t="s">
        <v>1017</v>
      </c>
      <c r="I126" s="627">
        <v>540387.24999999884</v>
      </c>
      <c r="J126" s="627">
        <v>8702.5</v>
      </c>
      <c r="K126" s="627">
        <f t="shared" si="2"/>
        <v>549089.74999999884</v>
      </c>
      <c r="M126" s="627"/>
      <c r="O126" s="627">
        <v>0</v>
      </c>
      <c r="P126" s="627">
        <v>0</v>
      </c>
      <c r="Q126" s="627">
        <v>0</v>
      </c>
      <c r="R126" s="627">
        <v>0</v>
      </c>
      <c r="S126" s="627"/>
      <c r="T126" s="627"/>
      <c r="U126" s="627"/>
      <c r="V126" s="627"/>
      <c r="W126" s="627"/>
      <c r="X126" s="627"/>
      <c r="Y126" s="627"/>
      <c r="Z126" s="627"/>
      <c r="AA126" s="627">
        <f t="shared" si="3"/>
        <v>0</v>
      </c>
    </row>
    <row r="127" spans="1:27">
      <c r="A127" s="238">
        <v>4625</v>
      </c>
      <c r="B127" s="168">
        <v>103534</v>
      </c>
      <c r="C127" s="168" t="s">
        <v>673</v>
      </c>
      <c r="D127" s="168" t="s">
        <v>463</v>
      </c>
      <c r="E127" s="625" t="s">
        <v>543</v>
      </c>
      <c r="F127" s="625" t="s">
        <v>537</v>
      </c>
      <c r="G127" s="626" t="s">
        <v>1017</v>
      </c>
      <c r="I127" s="627">
        <v>411888.28999999864</v>
      </c>
      <c r="J127" s="627">
        <v>0</v>
      </c>
      <c r="K127" s="627">
        <f t="shared" si="2"/>
        <v>411888.28999999864</v>
      </c>
      <c r="M127" s="627"/>
      <c r="O127" s="627">
        <v>0</v>
      </c>
      <c r="P127" s="627">
        <v>0</v>
      </c>
      <c r="Q127" s="627">
        <v>0</v>
      </c>
      <c r="R127" s="627">
        <v>0</v>
      </c>
      <c r="S127" s="627"/>
      <c r="T127" s="627"/>
      <c r="U127" s="627"/>
      <c r="V127" s="627"/>
      <c r="W127" s="627"/>
      <c r="X127" s="627"/>
      <c r="Y127" s="627"/>
      <c r="Z127" s="627"/>
      <c r="AA127" s="627">
        <f t="shared" si="3"/>
        <v>0</v>
      </c>
    </row>
    <row r="128" spans="1:27">
      <c r="A128" s="238">
        <v>3377</v>
      </c>
      <c r="B128" s="168">
        <v>103463</v>
      </c>
      <c r="C128" s="168" t="s">
        <v>582</v>
      </c>
      <c r="D128" s="168" t="s">
        <v>373</v>
      </c>
      <c r="E128" s="625" t="s">
        <v>539</v>
      </c>
      <c r="F128" s="625" t="s">
        <v>537</v>
      </c>
      <c r="G128" s="626">
        <v>0</v>
      </c>
      <c r="I128" s="627">
        <v>244131.6399999999</v>
      </c>
      <c r="J128" s="627">
        <v>0</v>
      </c>
      <c r="K128" s="627">
        <f t="shared" si="2"/>
        <v>244131.6399999999</v>
      </c>
      <c r="M128" s="627"/>
      <c r="O128" s="627">
        <v>0</v>
      </c>
      <c r="P128" s="627">
        <v>0</v>
      </c>
      <c r="Q128" s="627">
        <v>0</v>
      </c>
      <c r="R128" s="627">
        <v>0</v>
      </c>
      <c r="S128" s="627"/>
      <c r="T128" s="627"/>
      <c r="U128" s="627"/>
      <c r="V128" s="627"/>
      <c r="W128" s="627"/>
      <c r="X128" s="627"/>
      <c r="Y128" s="627"/>
      <c r="Z128" s="627"/>
      <c r="AA128" s="627">
        <f t="shared" si="3"/>
        <v>0</v>
      </c>
    </row>
    <row r="129" spans="1:27">
      <c r="A129" s="238">
        <v>3371</v>
      </c>
      <c r="B129" s="168">
        <v>103459</v>
      </c>
      <c r="C129" s="168" t="s">
        <v>583</v>
      </c>
      <c r="D129" s="168" t="s">
        <v>374</v>
      </c>
      <c r="E129" s="625" t="s">
        <v>539</v>
      </c>
      <c r="F129" s="625" t="s">
        <v>537</v>
      </c>
      <c r="G129" s="626">
        <v>0</v>
      </c>
      <c r="I129" s="627">
        <v>221346.31000000008</v>
      </c>
      <c r="J129" s="627">
        <v>0</v>
      </c>
      <c r="K129" s="627">
        <f t="shared" si="2"/>
        <v>221346.31000000008</v>
      </c>
      <c r="M129" s="627"/>
      <c r="O129" s="627">
        <v>0</v>
      </c>
      <c r="P129" s="627">
        <v>0</v>
      </c>
      <c r="Q129" s="627">
        <v>0</v>
      </c>
      <c r="R129" s="627">
        <v>0</v>
      </c>
      <c r="S129" s="627"/>
      <c r="T129" s="627"/>
      <c r="U129" s="627"/>
      <c r="V129" s="627"/>
      <c r="W129" s="627"/>
      <c r="X129" s="627"/>
      <c r="Y129" s="627"/>
      <c r="Z129" s="627"/>
      <c r="AA129" s="627">
        <f t="shared" si="3"/>
        <v>0</v>
      </c>
    </row>
    <row r="130" spans="1:27">
      <c r="A130" s="238">
        <v>3307</v>
      </c>
      <c r="B130" s="168">
        <v>103416</v>
      </c>
      <c r="C130" s="168" t="s">
        <v>674</v>
      </c>
      <c r="D130" s="168" t="s">
        <v>464</v>
      </c>
      <c r="E130" s="625" t="s">
        <v>539</v>
      </c>
      <c r="F130" s="625" t="s">
        <v>537</v>
      </c>
      <c r="G130" s="626" t="s">
        <v>1017</v>
      </c>
      <c r="I130" s="627">
        <v>305852</v>
      </c>
      <c r="J130" s="627">
        <v>0</v>
      </c>
      <c r="K130" s="627">
        <f t="shared" si="2"/>
        <v>305852</v>
      </c>
      <c r="M130" s="627"/>
      <c r="O130" s="627">
        <v>0</v>
      </c>
      <c r="P130" s="627">
        <v>0</v>
      </c>
      <c r="Q130" s="627">
        <v>0</v>
      </c>
      <c r="R130" s="627">
        <v>0</v>
      </c>
      <c r="S130" s="627"/>
      <c r="T130" s="627"/>
      <c r="U130" s="627"/>
      <c r="V130" s="627"/>
      <c r="W130" s="627"/>
      <c r="X130" s="627"/>
      <c r="Y130" s="627"/>
      <c r="Z130" s="627"/>
      <c r="AA130" s="627">
        <f t="shared" si="3"/>
        <v>0</v>
      </c>
    </row>
    <row r="131" spans="1:27">
      <c r="A131" s="238">
        <v>3361</v>
      </c>
      <c r="B131" s="168">
        <v>103453</v>
      </c>
      <c r="C131" s="168" t="s">
        <v>726</v>
      </c>
      <c r="D131" s="168" t="s">
        <v>515</v>
      </c>
      <c r="E131" s="625" t="s">
        <v>539</v>
      </c>
      <c r="F131" s="625" t="s">
        <v>537</v>
      </c>
      <c r="G131" s="626" t="s">
        <v>1017</v>
      </c>
      <c r="I131" s="627">
        <v>47649.380000001052</v>
      </c>
      <c r="J131" s="627">
        <v>0</v>
      </c>
      <c r="K131" s="627">
        <f t="shared" si="2"/>
        <v>47649.380000001052</v>
      </c>
      <c r="M131" s="627"/>
      <c r="O131" s="627">
        <v>0</v>
      </c>
      <c r="P131" s="627">
        <v>0</v>
      </c>
      <c r="Q131" s="627">
        <v>0</v>
      </c>
      <c r="R131" s="627">
        <v>0</v>
      </c>
      <c r="S131" s="627"/>
      <c r="T131" s="627"/>
      <c r="U131" s="627"/>
      <c r="V131" s="627"/>
      <c r="W131" s="627"/>
      <c r="X131" s="627"/>
      <c r="Y131" s="627"/>
      <c r="Z131" s="627"/>
      <c r="AA131" s="627">
        <f t="shared" si="3"/>
        <v>0</v>
      </c>
    </row>
    <row r="132" spans="1:27">
      <c r="A132" s="238">
        <v>3344</v>
      </c>
      <c r="B132" s="168">
        <v>103438</v>
      </c>
      <c r="C132" s="168" t="s">
        <v>727</v>
      </c>
      <c r="D132" s="168" t="s">
        <v>516</v>
      </c>
      <c r="E132" s="625" t="s">
        <v>539</v>
      </c>
      <c r="F132" s="625" t="s">
        <v>537</v>
      </c>
      <c r="G132" s="626" t="s">
        <v>1017</v>
      </c>
      <c r="I132" s="627">
        <v>163527.43999999776</v>
      </c>
      <c r="J132" s="627">
        <v>0</v>
      </c>
      <c r="K132" s="627">
        <f t="shared" si="2"/>
        <v>163527.43999999776</v>
      </c>
      <c r="M132" s="627"/>
      <c r="O132" s="627">
        <v>0</v>
      </c>
      <c r="P132" s="627">
        <v>0</v>
      </c>
      <c r="Q132" s="627">
        <v>0</v>
      </c>
      <c r="R132" s="627">
        <v>0</v>
      </c>
      <c r="S132" s="627"/>
      <c r="T132" s="627"/>
      <c r="U132" s="627"/>
      <c r="V132" s="627"/>
      <c r="W132" s="627"/>
      <c r="X132" s="627"/>
      <c r="Y132" s="627"/>
      <c r="Z132" s="627"/>
      <c r="AA132" s="627">
        <f t="shared" si="3"/>
        <v>0</v>
      </c>
    </row>
    <row r="133" spans="1:27">
      <c r="A133" s="238">
        <v>3025</v>
      </c>
      <c r="B133" s="168">
        <v>103410</v>
      </c>
      <c r="C133" s="168" t="s">
        <v>676</v>
      </c>
      <c r="D133" s="168" t="s">
        <v>466</v>
      </c>
      <c r="E133" s="625" t="s">
        <v>539</v>
      </c>
      <c r="F133" s="625" t="s">
        <v>537</v>
      </c>
      <c r="G133" s="626" t="s">
        <v>1017</v>
      </c>
      <c r="I133" s="627">
        <v>160539</v>
      </c>
      <c r="J133" s="627">
        <v>0</v>
      </c>
      <c r="K133" s="627">
        <f t="shared" si="2"/>
        <v>160539</v>
      </c>
      <c r="M133" s="627"/>
      <c r="O133" s="627">
        <v>0</v>
      </c>
      <c r="P133" s="627">
        <v>0</v>
      </c>
      <c r="Q133" s="627">
        <v>0</v>
      </c>
      <c r="R133" s="627">
        <v>0</v>
      </c>
      <c r="S133" s="627"/>
      <c r="T133" s="627"/>
      <c r="U133" s="627"/>
      <c r="V133" s="627"/>
      <c r="W133" s="627"/>
      <c r="X133" s="627"/>
      <c r="Y133" s="627"/>
      <c r="Z133" s="627"/>
      <c r="AA133" s="627">
        <f t="shared" si="3"/>
        <v>0</v>
      </c>
    </row>
    <row r="134" spans="1:27">
      <c r="A134" s="238">
        <v>3016</v>
      </c>
      <c r="B134" s="168">
        <v>103404</v>
      </c>
      <c r="C134" s="168" t="s">
        <v>584</v>
      </c>
      <c r="D134" s="168" t="s">
        <v>375</v>
      </c>
      <c r="E134" s="625" t="s">
        <v>539</v>
      </c>
      <c r="F134" s="625" t="s">
        <v>537</v>
      </c>
      <c r="G134" s="626">
        <v>0</v>
      </c>
      <c r="I134" s="627">
        <v>573548.19999999995</v>
      </c>
      <c r="J134" s="627">
        <v>1316.25</v>
      </c>
      <c r="K134" s="627">
        <f t="shared" ref="K134:K184" si="4">I134+J134</f>
        <v>574864.44999999995</v>
      </c>
      <c r="M134" s="627"/>
      <c r="O134" s="627">
        <v>0</v>
      </c>
      <c r="P134" s="627">
        <v>0</v>
      </c>
      <c r="Q134" s="627">
        <v>0</v>
      </c>
      <c r="R134" s="627">
        <v>0</v>
      </c>
      <c r="S134" s="627"/>
      <c r="T134" s="627"/>
      <c r="U134" s="627"/>
      <c r="V134" s="627"/>
      <c r="W134" s="627"/>
      <c r="X134" s="627"/>
      <c r="Y134" s="627"/>
      <c r="Z134" s="627"/>
      <c r="AA134" s="627">
        <f t="shared" ref="AA134:AA197" si="5">(-M134)+SUM(O134:Z134)</f>
        <v>0</v>
      </c>
    </row>
    <row r="135" spans="1:27">
      <c r="A135" s="238">
        <v>4606</v>
      </c>
      <c r="B135" s="168">
        <v>103531</v>
      </c>
      <c r="C135" s="168" t="s">
        <v>585</v>
      </c>
      <c r="D135" s="168" t="s">
        <v>376</v>
      </c>
      <c r="E135" s="625" t="s">
        <v>543</v>
      </c>
      <c r="F135" s="625" t="s">
        <v>537</v>
      </c>
      <c r="G135" s="626">
        <v>0</v>
      </c>
      <c r="I135" s="627">
        <v>234294.16999999981</v>
      </c>
      <c r="J135" s="627">
        <v>0</v>
      </c>
      <c r="K135" s="627">
        <f t="shared" si="4"/>
        <v>234294.16999999981</v>
      </c>
      <c r="M135" s="627"/>
      <c r="O135" s="627">
        <v>0</v>
      </c>
      <c r="P135" s="627">
        <v>0</v>
      </c>
      <c r="Q135" s="627">
        <v>0</v>
      </c>
      <c r="R135" s="627">
        <v>0</v>
      </c>
      <c r="S135" s="627"/>
      <c r="T135" s="627"/>
      <c r="U135" s="627"/>
      <c r="V135" s="627"/>
      <c r="W135" s="627"/>
      <c r="X135" s="627"/>
      <c r="Y135" s="627"/>
      <c r="Z135" s="627"/>
      <c r="AA135" s="627">
        <f t="shared" si="5"/>
        <v>0</v>
      </c>
    </row>
    <row r="136" spans="1:27">
      <c r="A136" s="238">
        <v>3428</v>
      </c>
      <c r="B136" s="168">
        <v>134476</v>
      </c>
      <c r="C136" s="168" t="s">
        <v>586</v>
      </c>
      <c r="D136" s="168" t="s">
        <v>377</v>
      </c>
      <c r="E136" s="625" t="s">
        <v>539</v>
      </c>
      <c r="F136" s="625" t="s">
        <v>537</v>
      </c>
      <c r="G136" s="626">
        <v>0</v>
      </c>
      <c r="I136" s="627">
        <v>13269</v>
      </c>
      <c r="J136" s="627">
        <v>0</v>
      </c>
      <c r="K136" s="627">
        <f t="shared" si="4"/>
        <v>13269</v>
      </c>
      <c r="M136" s="627"/>
      <c r="O136" s="627">
        <v>0</v>
      </c>
      <c r="P136" s="627">
        <v>0</v>
      </c>
      <c r="Q136" s="627">
        <v>0</v>
      </c>
      <c r="R136" s="627">
        <v>0</v>
      </c>
      <c r="S136" s="627"/>
      <c r="T136" s="627"/>
      <c r="U136" s="627">
        <v>100000</v>
      </c>
      <c r="V136" s="627"/>
      <c r="W136" s="627"/>
      <c r="X136" s="627"/>
      <c r="Y136" s="627"/>
      <c r="Z136" s="627"/>
      <c r="AA136" s="627">
        <f t="shared" si="5"/>
        <v>100000</v>
      </c>
    </row>
    <row r="137" spans="1:27">
      <c r="A137" s="238">
        <v>3019</v>
      </c>
      <c r="B137" s="168">
        <v>103406</v>
      </c>
      <c r="C137" s="168" t="s">
        <v>728</v>
      </c>
      <c r="D137" s="168" t="s">
        <v>517</v>
      </c>
      <c r="E137" s="625" t="s">
        <v>539</v>
      </c>
      <c r="F137" s="625" t="s">
        <v>537</v>
      </c>
      <c r="G137" s="626" t="s">
        <v>1017</v>
      </c>
      <c r="I137" s="627">
        <v>402073.16000000003</v>
      </c>
      <c r="J137" s="627">
        <v>1803.5</v>
      </c>
      <c r="K137" s="627">
        <f t="shared" si="4"/>
        <v>403876.66000000003</v>
      </c>
      <c r="M137" s="627"/>
      <c r="O137" s="627">
        <v>0</v>
      </c>
      <c r="P137" s="627">
        <v>0</v>
      </c>
      <c r="Q137" s="627">
        <v>0</v>
      </c>
      <c r="R137" s="627">
        <v>0</v>
      </c>
      <c r="S137" s="627"/>
      <c r="T137" s="627"/>
      <c r="U137" s="627"/>
      <c r="V137" s="627"/>
      <c r="W137" s="627"/>
      <c r="X137" s="627"/>
      <c r="Y137" s="627"/>
      <c r="Z137" s="627"/>
      <c r="AA137" s="627">
        <f t="shared" si="5"/>
        <v>0</v>
      </c>
    </row>
    <row r="138" spans="1:27">
      <c r="A138" s="238">
        <v>2178</v>
      </c>
      <c r="B138" s="168">
        <v>103257</v>
      </c>
      <c r="C138" s="168" t="s">
        <v>729</v>
      </c>
      <c r="D138" s="168" t="s">
        <v>518</v>
      </c>
      <c r="E138" s="625" t="s">
        <v>539</v>
      </c>
      <c r="F138" s="625" t="s">
        <v>537</v>
      </c>
      <c r="G138" s="626" t="s">
        <v>1016</v>
      </c>
      <c r="I138" s="627">
        <v>156528.46000000054</v>
      </c>
      <c r="J138" s="627">
        <v>5090.400000000006</v>
      </c>
      <c r="K138" s="627">
        <f t="shared" si="4"/>
        <v>161618.86000000054</v>
      </c>
      <c r="M138" s="627"/>
      <c r="O138" s="627">
        <v>0</v>
      </c>
      <c r="P138" s="627">
        <v>0</v>
      </c>
      <c r="Q138" s="627">
        <v>0</v>
      </c>
      <c r="R138" s="627">
        <v>0</v>
      </c>
      <c r="S138" s="627"/>
      <c r="T138" s="627"/>
      <c r="U138" s="627"/>
      <c r="V138" s="627"/>
      <c r="W138" s="627"/>
      <c r="X138" s="627"/>
      <c r="Y138" s="627"/>
      <c r="Z138" s="627"/>
      <c r="AA138" s="627">
        <f t="shared" si="5"/>
        <v>0</v>
      </c>
    </row>
    <row r="139" spans="1:27">
      <c r="A139" s="238">
        <v>2184</v>
      </c>
      <c r="B139" s="168">
        <v>103262</v>
      </c>
      <c r="C139" s="168" t="s">
        <v>740</v>
      </c>
      <c r="D139" s="168" t="s">
        <v>529</v>
      </c>
      <c r="E139" s="625" t="s">
        <v>539</v>
      </c>
      <c r="F139" s="625" t="s">
        <v>537</v>
      </c>
      <c r="G139" s="626" t="s">
        <v>1017</v>
      </c>
      <c r="I139" s="627">
        <v>743686.33000000159</v>
      </c>
      <c r="J139" s="627">
        <v>8860</v>
      </c>
      <c r="K139" s="627">
        <f t="shared" si="4"/>
        <v>752546.33000000159</v>
      </c>
      <c r="M139" s="627"/>
      <c r="O139" s="627">
        <v>0</v>
      </c>
      <c r="P139" s="627">
        <v>0</v>
      </c>
      <c r="Q139" s="627">
        <v>0</v>
      </c>
      <c r="R139" s="627">
        <v>0</v>
      </c>
      <c r="S139" s="627"/>
      <c r="T139" s="627"/>
      <c r="U139" s="627"/>
      <c r="V139" s="627"/>
      <c r="W139" s="627"/>
      <c r="X139" s="627"/>
      <c r="Y139" s="627"/>
      <c r="Z139" s="627"/>
      <c r="AA139" s="627">
        <f t="shared" si="5"/>
        <v>0</v>
      </c>
    </row>
    <row r="140" spans="1:27">
      <c r="A140" s="238">
        <v>2190</v>
      </c>
      <c r="B140" s="168">
        <v>103266</v>
      </c>
      <c r="C140" s="168" t="s">
        <v>730</v>
      </c>
      <c r="D140" s="168" t="s">
        <v>519</v>
      </c>
      <c r="E140" s="625" t="s">
        <v>539</v>
      </c>
      <c r="F140" s="625" t="s">
        <v>537</v>
      </c>
      <c r="G140" s="626" t="s">
        <v>1017</v>
      </c>
      <c r="I140" s="627">
        <v>21006.239999999525</v>
      </c>
      <c r="J140" s="627">
        <v>13013.599999999999</v>
      </c>
      <c r="K140" s="627">
        <f t="shared" si="4"/>
        <v>34019.839999999524</v>
      </c>
      <c r="M140" s="627"/>
      <c r="O140" s="627">
        <v>0</v>
      </c>
      <c r="P140" s="627">
        <v>0</v>
      </c>
      <c r="Q140" s="627">
        <v>0</v>
      </c>
      <c r="R140" s="627">
        <v>0</v>
      </c>
      <c r="S140" s="627"/>
      <c r="T140" s="627"/>
      <c r="U140" s="627"/>
      <c r="V140" s="627"/>
      <c r="W140" s="627"/>
      <c r="X140" s="627"/>
      <c r="Y140" s="627"/>
      <c r="Z140" s="627"/>
      <c r="AA140" s="627">
        <f t="shared" si="5"/>
        <v>0</v>
      </c>
    </row>
    <row r="141" spans="1:27">
      <c r="A141" s="238">
        <v>7035</v>
      </c>
      <c r="B141" s="168">
        <v>103615</v>
      </c>
      <c r="C141" s="168" t="s">
        <v>731</v>
      </c>
      <c r="D141" s="168" t="s">
        <v>520</v>
      </c>
      <c r="E141" s="625" t="s">
        <v>541</v>
      </c>
      <c r="F141" s="625" t="s">
        <v>537</v>
      </c>
      <c r="G141" s="626" t="s">
        <v>1016</v>
      </c>
      <c r="I141" s="627">
        <v>566221.22999999882</v>
      </c>
      <c r="J141" s="627">
        <v>32953.310000000005</v>
      </c>
      <c r="K141" s="627">
        <f t="shared" si="4"/>
        <v>599174.53999999887</v>
      </c>
      <c r="M141" s="627"/>
      <c r="O141" s="627">
        <v>0</v>
      </c>
      <c r="P141" s="627">
        <v>0</v>
      </c>
      <c r="Q141" s="627">
        <v>0</v>
      </c>
      <c r="R141" s="627">
        <v>0</v>
      </c>
      <c r="S141" s="627"/>
      <c r="T141" s="627"/>
      <c r="U141" s="627"/>
      <c r="V141" s="627"/>
      <c r="W141" s="627"/>
      <c r="X141" s="627"/>
      <c r="Y141" s="627"/>
      <c r="Z141" s="627"/>
      <c r="AA141" s="627">
        <f t="shared" si="5"/>
        <v>0</v>
      </c>
    </row>
    <row r="142" spans="1:27">
      <c r="A142" s="238">
        <v>3323</v>
      </c>
      <c r="B142" s="168">
        <v>103427</v>
      </c>
      <c r="C142" s="168" t="s">
        <v>587</v>
      </c>
      <c r="D142" s="168" t="s">
        <v>378</v>
      </c>
      <c r="E142" s="625" t="s">
        <v>539</v>
      </c>
      <c r="F142" s="625" t="s">
        <v>537</v>
      </c>
      <c r="G142" s="626">
        <v>0</v>
      </c>
      <c r="I142" s="627">
        <v>311212.18999999994</v>
      </c>
      <c r="J142" s="627">
        <v>0</v>
      </c>
      <c r="K142" s="627">
        <f t="shared" si="4"/>
        <v>311212.18999999994</v>
      </c>
      <c r="M142" s="627"/>
      <c r="O142" s="627">
        <v>0</v>
      </c>
      <c r="P142" s="627">
        <v>0</v>
      </c>
      <c r="Q142" s="627">
        <v>0</v>
      </c>
      <c r="R142" s="627">
        <v>0</v>
      </c>
      <c r="S142" s="627"/>
      <c r="T142" s="627"/>
      <c r="U142" s="627"/>
      <c r="V142" s="627"/>
      <c r="W142" s="627"/>
      <c r="X142" s="627"/>
      <c r="Y142" s="627"/>
      <c r="Z142" s="627"/>
      <c r="AA142" s="627">
        <f t="shared" si="5"/>
        <v>0</v>
      </c>
    </row>
    <row r="143" spans="1:27">
      <c r="A143" s="238">
        <v>7045</v>
      </c>
      <c r="B143" s="168">
        <v>103622</v>
      </c>
      <c r="C143" s="168" t="s">
        <v>732</v>
      </c>
      <c r="D143" s="168" t="s">
        <v>521</v>
      </c>
      <c r="E143" s="625" t="s">
        <v>541</v>
      </c>
      <c r="F143" s="625" t="s">
        <v>537</v>
      </c>
      <c r="G143" s="626" t="s">
        <v>1017</v>
      </c>
      <c r="I143" s="627">
        <v>1144828.8299999991</v>
      </c>
      <c r="J143" s="627">
        <v>55810.630000000005</v>
      </c>
      <c r="K143" s="627">
        <f t="shared" si="4"/>
        <v>1200639.459999999</v>
      </c>
      <c r="M143" s="627"/>
      <c r="O143" s="627">
        <v>0</v>
      </c>
      <c r="P143" s="627">
        <v>0</v>
      </c>
      <c r="Q143" s="627">
        <v>0</v>
      </c>
      <c r="R143" s="627">
        <v>0</v>
      </c>
      <c r="S143" s="627"/>
      <c r="T143" s="627"/>
      <c r="U143" s="627"/>
      <c r="V143" s="627"/>
      <c r="W143" s="627"/>
      <c r="X143" s="627"/>
      <c r="Y143" s="627"/>
      <c r="Z143" s="627"/>
      <c r="AA143" s="627">
        <f t="shared" si="5"/>
        <v>0</v>
      </c>
    </row>
    <row r="144" spans="1:27">
      <c r="A144" s="238">
        <v>2192</v>
      </c>
      <c r="B144" s="168">
        <v>103268</v>
      </c>
      <c r="C144" s="168" t="s">
        <v>682</v>
      </c>
      <c r="D144" s="168" t="s">
        <v>472</v>
      </c>
      <c r="E144" s="625" t="s">
        <v>539</v>
      </c>
      <c r="F144" s="625" t="s">
        <v>537</v>
      </c>
      <c r="G144" s="626" t="s">
        <v>1017</v>
      </c>
      <c r="I144" s="627">
        <v>343597.85999999347</v>
      </c>
      <c r="J144" s="627">
        <v>0</v>
      </c>
      <c r="K144" s="627">
        <f t="shared" si="4"/>
        <v>343597.85999999347</v>
      </c>
      <c r="M144" s="627"/>
      <c r="O144" s="627">
        <v>0</v>
      </c>
      <c r="P144" s="627">
        <v>0</v>
      </c>
      <c r="Q144" s="627">
        <v>0</v>
      </c>
      <c r="R144" s="627">
        <v>0</v>
      </c>
      <c r="S144" s="627"/>
      <c r="T144" s="627"/>
      <c r="U144" s="627"/>
      <c r="V144" s="627"/>
      <c r="W144" s="627"/>
      <c r="X144" s="627"/>
      <c r="Y144" s="627"/>
      <c r="Z144" s="627"/>
      <c r="AA144" s="627">
        <f t="shared" si="5"/>
        <v>0</v>
      </c>
    </row>
    <row r="145" spans="1:27">
      <c r="A145" s="238">
        <v>7014</v>
      </c>
      <c r="B145" s="168">
        <v>103605</v>
      </c>
      <c r="C145" s="168" t="s">
        <v>588</v>
      </c>
      <c r="D145" s="168" t="s">
        <v>379</v>
      </c>
      <c r="E145" s="625" t="s">
        <v>541</v>
      </c>
      <c r="F145" s="625" t="s">
        <v>537</v>
      </c>
      <c r="G145" s="626">
        <v>0</v>
      </c>
      <c r="I145" s="627">
        <v>1789289.3399999992</v>
      </c>
      <c r="J145" s="627">
        <v>17365.660000000003</v>
      </c>
      <c r="K145" s="627">
        <f t="shared" si="4"/>
        <v>1806654.9999999991</v>
      </c>
      <c r="M145" s="627"/>
      <c r="O145" s="627">
        <v>0</v>
      </c>
      <c r="P145" s="627">
        <v>0</v>
      </c>
      <c r="Q145" s="627">
        <v>0</v>
      </c>
      <c r="R145" s="627">
        <v>0</v>
      </c>
      <c r="S145" s="627"/>
      <c r="T145" s="627"/>
      <c r="U145" s="627"/>
      <c r="V145" s="627"/>
      <c r="W145" s="627"/>
      <c r="X145" s="627"/>
      <c r="Y145" s="627"/>
      <c r="Z145" s="627"/>
      <c r="AA145" s="627">
        <f t="shared" si="5"/>
        <v>0</v>
      </c>
    </row>
    <row r="146" spans="1:27">
      <c r="A146" s="238">
        <v>7009</v>
      </c>
      <c r="B146" s="168">
        <v>103601</v>
      </c>
      <c r="C146" s="168" t="s">
        <v>589</v>
      </c>
      <c r="D146" s="168" t="s">
        <v>380</v>
      </c>
      <c r="E146" s="625" t="s">
        <v>541</v>
      </c>
      <c r="F146" s="625" t="s">
        <v>537</v>
      </c>
      <c r="G146" s="626">
        <v>0</v>
      </c>
      <c r="I146" s="627">
        <v>2114597.4560000002</v>
      </c>
      <c r="J146" s="627">
        <v>10164.010000000002</v>
      </c>
      <c r="K146" s="627">
        <f t="shared" si="4"/>
        <v>2124761.466</v>
      </c>
      <c r="M146" s="627"/>
      <c r="O146" s="627">
        <v>0</v>
      </c>
      <c r="P146" s="627">
        <v>0</v>
      </c>
      <c r="Q146" s="627">
        <v>0</v>
      </c>
      <c r="R146" s="627">
        <v>0</v>
      </c>
      <c r="S146" s="627"/>
      <c r="T146" s="627"/>
      <c r="U146" s="627"/>
      <c r="V146" s="627"/>
      <c r="W146" s="627"/>
      <c r="X146" s="627"/>
      <c r="Y146" s="627"/>
      <c r="Z146" s="627"/>
      <c r="AA146" s="627">
        <f t="shared" si="5"/>
        <v>0</v>
      </c>
    </row>
    <row r="147" spans="1:27">
      <c r="A147" s="238">
        <v>5203</v>
      </c>
      <c r="B147" s="168">
        <v>103544</v>
      </c>
      <c r="C147" s="168" t="s">
        <v>590</v>
      </c>
      <c r="D147" s="168" t="s">
        <v>381</v>
      </c>
      <c r="E147" s="625" t="s">
        <v>539</v>
      </c>
      <c r="F147" s="625" t="s">
        <v>537</v>
      </c>
      <c r="G147" s="626">
        <v>0</v>
      </c>
      <c r="I147" s="627">
        <v>82655.919999999431</v>
      </c>
      <c r="J147" s="627">
        <v>0</v>
      </c>
      <c r="K147" s="627">
        <f t="shared" si="4"/>
        <v>82655.919999999431</v>
      </c>
      <c r="M147" s="627"/>
      <c r="O147" s="627">
        <v>0</v>
      </c>
      <c r="P147" s="627">
        <v>0</v>
      </c>
      <c r="Q147" s="627">
        <v>0</v>
      </c>
      <c r="R147" s="627">
        <v>0</v>
      </c>
      <c r="S147" s="627"/>
      <c r="T147" s="627"/>
      <c r="U147" s="627"/>
      <c r="V147" s="627"/>
      <c r="W147" s="627"/>
      <c r="X147" s="627"/>
      <c r="Y147" s="627"/>
      <c r="Z147" s="627"/>
      <c r="AA147" s="627">
        <f t="shared" si="5"/>
        <v>0</v>
      </c>
    </row>
    <row r="148" spans="1:27">
      <c r="A148" s="238">
        <v>5202</v>
      </c>
      <c r="B148" s="168">
        <v>103543</v>
      </c>
      <c r="C148" s="168" t="s">
        <v>591</v>
      </c>
      <c r="D148" s="168" t="s">
        <v>382</v>
      </c>
      <c r="E148" s="625" t="s">
        <v>539</v>
      </c>
      <c r="F148" s="625" t="s">
        <v>537</v>
      </c>
      <c r="G148" s="626">
        <v>0</v>
      </c>
      <c r="I148" s="627">
        <v>231787.62999999902</v>
      </c>
      <c r="J148" s="627">
        <v>27469</v>
      </c>
      <c r="K148" s="627">
        <f t="shared" si="4"/>
        <v>259256.62999999902</v>
      </c>
      <c r="M148" s="627"/>
      <c r="O148" s="627">
        <v>0</v>
      </c>
      <c r="P148" s="627">
        <v>0</v>
      </c>
      <c r="Q148" s="627">
        <v>0</v>
      </c>
      <c r="R148" s="627">
        <v>0</v>
      </c>
      <c r="S148" s="627"/>
      <c r="T148" s="627"/>
      <c r="U148" s="627"/>
      <c r="V148" s="627"/>
      <c r="W148" s="627"/>
      <c r="X148" s="627"/>
      <c r="Y148" s="627"/>
      <c r="Z148" s="627"/>
      <c r="AA148" s="627">
        <f t="shared" si="5"/>
        <v>0</v>
      </c>
    </row>
    <row r="149" spans="1:27">
      <c r="A149" s="238">
        <v>2108</v>
      </c>
      <c r="B149" s="168">
        <v>103217</v>
      </c>
      <c r="C149" s="168" t="s">
        <v>683</v>
      </c>
      <c r="D149" s="168" t="s">
        <v>473</v>
      </c>
      <c r="E149" s="625" t="s">
        <v>539</v>
      </c>
      <c r="F149" s="625" t="s">
        <v>537</v>
      </c>
      <c r="G149" s="626" t="s">
        <v>1017</v>
      </c>
      <c r="I149" s="627">
        <v>1091897.219999996</v>
      </c>
      <c r="J149" s="627">
        <v>146670.5</v>
      </c>
      <c r="K149" s="627">
        <f t="shared" si="4"/>
        <v>1238567.719999996</v>
      </c>
      <c r="M149" s="627"/>
      <c r="O149" s="627">
        <v>0</v>
      </c>
      <c r="P149" s="627">
        <v>0</v>
      </c>
      <c r="Q149" s="627">
        <v>0</v>
      </c>
      <c r="R149" s="627">
        <v>0</v>
      </c>
      <c r="S149" s="627"/>
      <c r="T149" s="627"/>
      <c r="U149" s="627"/>
      <c r="V149" s="627"/>
      <c r="W149" s="627"/>
      <c r="X149" s="627"/>
      <c r="Y149" s="627"/>
      <c r="Z149" s="627"/>
      <c r="AA149" s="627">
        <f t="shared" si="5"/>
        <v>0</v>
      </c>
    </row>
    <row r="150" spans="1:27">
      <c r="A150" s="238">
        <v>2306</v>
      </c>
      <c r="B150" s="168">
        <v>103326</v>
      </c>
      <c r="C150" s="168" t="s">
        <v>734</v>
      </c>
      <c r="D150" s="168" t="s">
        <v>523</v>
      </c>
      <c r="E150" s="625" t="s">
        <v>539</v>
      </c>
      <c r="F150" s="625" t="s">
        <v>537</v>
      </c>
      <c r="G150" s="626" t="s">
        <v>1017</v>
      </c>
      <c r="I150" s="627">
        <v>279911.79999999847</v>
      </c>
      <c r="J150" s="627">
        <v>31042.98</v>
      </c>
      <c r="K150" s="627">
        <f t="shared" si="4"/>
        <v>310954.77999999846</v>
      </c>
      <c r="M150" s="627"/>
      <c r="O150" s="627">
        <v>0</v>
      </c>
      <c r="P150" s="627">
        <v>0</v>
      </c>
      <c r="Q150" s="627">
        <v>0</v>
      </c>
      <c r="R150" s="627">
        <v>0</v>
      </c>
      <c r="S150" s="627"/>
      <c r="T150" s="627"/>
      <c r="U150" s="627"/>
      <c r="V150" s="627"/>
      <c r="W150" s="627"/>
      <c r="X150" s="627"/>
      <c r="Y150" s="627"/>
      <c r="Z150" s="627"/>
      <c r="AA150" s="627">
        <f t="shared" si="5"/>
        <v>0</v>
      </c>
    </row>
    <row r="151" spans="1:27">
      <c r="A151" s="238">
        <v>2308</v>
      </c>
      <c r="B151" s="168">
        <v>103328</v>
      </c>
      <c r="C151" s="168" t="s">
        <v>592</v>
      </c>
      <c r="D151" s="168" t="s">
        <v>383</v>
      </c>
      <c r="E151" s="625" t="s">
        <v>539</v>
      </c>
      <c r="F151" s="625" t="s">
        <v>537</v>
      </c>
      <c r="G151" s="626">
        <v>0</v>
      </c>
      <c r="I151" s="627">
        <v>432926.45999999827</v>
      </c>
      <c r="J151" s="627">
        <v>26430.370000000003</v>
      </c>
      <c r="K151" s="627">
        <f t="shared" si="4"/>
        <v>459356.82999999827</v>
      </c>
      <c r="M151" s="627"/>
      <c r="O151" s="627">
        <v>0</v>
      </c>
      <c r="P151" s="627">
        <v>0</v>
      </c>
      <c r="Q151" s="627">
        <v>0</v>
      </c>
      <c r="R151" s="627">
        <v>0</v>
      </c>
      <c r="S151" s="627"/>
      <c r="T151" s="627"/>
      <c r="U151" s="627"/>
      <c r="V151" s="627"/>
      <c r="W151" s="627"/>
      <c r="X151" s="627"/>
      <c r="Y151" s="627"/>
      <c r="Z151" s="627"/>
      <c r="AA151" s="627">
        <f t="shared" si="5"/>
        <v>0</v>
      </c>
    </row>
    <row r="152" spans="1:27">
      <c r="A152" s="238">
        <v>2245</v>
      </c>
      <c r="B152" s="168">
        <v>103295</v>
      </c>
      <c r="C152" s="168" t="s">
        <v>735</v>
      </c>
      <c r="D152" s="168" t="s">
        <v>524</v>
      </c>
      <c r="E152" s="625" t="s">
        <v>539</v>
      </c>
      <c r="F152" s="625" t="s">
        <v>537</v>
      </c>
      <c r="G152" s="626" t="s">
        <v>1017</v>
      </c>
      <c r="I152" s="627">
        <v>25296.379999997967</v>
      </c>
      <c r="J152" s="627">
        <v>45101.329999999994</v>
      </c>
      <c r="K152" s="627">
        <f t="shared" si="4"/>
        <v>70397.709999997955</v>
      </c>
      <c r="M152" s="627"/>
      <c r="O152" s="627">
        <v>0</v>
      </c>
      <c r="P152" s="627">
        <v>0</v>
      </c>
      <c r="Q152" s="627">
        <v>0</v>
      </c>
      <c r="R152" s="627">
        <v>0</v>
      </c>
      <c r="S152" s="627"/>
      <c r="T152" s="627"/>
      <c r="U152" s="627"/>
      <c r="V152" s="627"/>
      <c r="W152" s="627"/>
      <c r="X152" s="627"/>
      <c r="Y152" s="627"/>
      <c r="Z152" s="627"/>
      <c r="AA152" s="627">
        <f t="shared" si="5"/>
        <v>0</v>
      </c>
    </row>
    <row r="153" spans="1:27">
      <c r="A153" s="238">
        <v>1014</v>
      </c>
      <c r="B153" s="168">
        <v>103127</v>
      </c>
      <c r="C153" s="168" t="s">
        <v>685</v>
      </c>
      <c r="D153" s="168" t="s">
        <v>475</v>
      </c>
      <c r="E153" s="625" t="s">
        <v>536</v>
      </c>
      <c r="F153" s="625" t="s">
        <v>537</v>
      </c>
      <c r="G153" s="626" t="s">
        <v>1016</v>
      </c>
      <c r="I153" s="627">
        <v>269332.04000000015</v>
      </c>
      <c r="J153" s="627">
        <v>29855.68</v>
      </c>
      <c r="K153" s="627">
        <f t="shared" si="4"/>
        <v>299187.72000000015</v>
      </c>
      <c r="M153" s="627"/>
      <c r="O153" s="627">
        <v>0</v>
      </c>
      <c r="P153" s="627">
        <v>0</v>
      </c>
      <c r="Q153" s="627">
        <v>0</v>
      </c>
      <c r="R153" s="627">
        <v>0</v>
      </c>
      <c r="S153" s="627"/>
      <c r="T153" s="627"/>
      <c r="U153" s="627"/>
      <c r="V153" s="627"/>
      <c r="W153" s="627"/>
      <c r="X153" s="627"/>
      <c r="Y153" s="627"/>
      <c r="Z153" s="627"/>
      <c r="AA153" s="627">
        <f t="shared" si="5"/>
        <v>0</v>
      </c>
    </row>
    <row r="154" spans="1:27">
      <c r="A154" s="238">
        <v>2011</v>
      </c>
      <c r="B154" s="168">
        <v>134099</v>
      </c>
      <c r="C154" s="168" t="s">
        <v>593</v>
      </c>
      <c r="D154" s="168" t="s">
        <v>384</v>
      </c>
      <c r="E154" s="625" t="s">
        <v>539</v>
      </c>
      <c r="F154" s="625" t="s">
        <v>537</v>
      </c>
      <c r="G154" s="626">
        <v>0</v>
      </c>
      <c r="I154" s="627">
        <v>467915.51000000129</v>
      </c>
      <c r="J154" s="627">
        <v>48032</v>
      </c>
      <c r="K154" s="627">
        <f t="shared" si="4"/>
        <v>515947.51000000129</v>
      </c>
      <c r="M154" s="627"/>
      <c r="O154" s="627">
        <v>0</v>
      </c>
      <c r="P154" s="627">
        <v>0</v>
      </c>
      <c r="Q154" s="627">
        <v>0</v>
      </c>
      <c r="R154" s="627">
        <v>0</v>
      </c>
      <c r="S154" s="627"/>
      <c r="T154" s="627"/>
      <c r="U154" s="627"/>
      <c r="V154" s="627"/>
      <c r="W154" s="627"/>
      <c r="X154" s="627"/>
      <c r="Y154" s="627"/>
      <c r="Z154" s="627"/>
      <c r="AA154" s="627">
        <f t="shared" si="5"/>
        <v>0</v>
      </c>
    </row>
    <row r="155" spans="1:27">
      <c r="A155" s="238">
        <v>4193</v>
      </c>
      <c r="B155" s="168">
        <v>103501</v>
      </c>
      <c r="C155" s="168" t="s">
        <v>594</v>
      </c>
      <c r="D155" s="168" t="s">
        <v>385</v>
      </c>
      <c r="E155" s="625" t="s">
        <v>543</v>
      </c>
      <c r="F155" s="625" t="s">
        <v>537</v>
      </c>
      <c r="G155" s="626">
        <v>0</v>
      </c>
      <c r="I155" s="627">
        <v>1580301.9500000011</v>
      </c>
      <c r="J155" s="627">
        <v>75471.59</v>
      </c>
      <c r="K155" s="627">
        <f t="shared" si="4"/>
        <v>1655773.5400000012</v>
      </c>
      <c r="M155" s="627"/>
      <c r="O155" s="627">
        <v>0</v>
      </c>
      <c r="P155" s="627">
        <v>0</v>
      </c>
      <c r="Q155" s="627">
        <v>0</v>
      </c>
      <c r="R155" s="627">
        <v>0</v>
      </c>
      <c r="S155" s="627"/>
      <c r="T155" s="627"/>
      <c r="U155" s="627"/>
      <c r="V155" s="627"/>
      <c r="W155" s="627"/>
      <c r="X155" s="627"/>
      <c r="Y155" s="627"/>
      <c r="Z155" s="627"/>
      <c r="AA155" s="627">
        <f t="shared" si="5"/>
        <v>0</v>
      </c>
    </row>
    <row r="156" spans="1:27">
      <c r="A156" s="238">
        <v>2478</v>
      </c>
      <c r="B156" s="168">
        <v>132007</v>
      </c>
      <c r="C156" s="168" t="s">
        <v>598</v>
      </c>
      <c r="D156" s="168" t="s">
        <v>389</v>
      </c>
      <c r="E156" s="625" t="s">
        <v>539</v>
      </c>
      <c r="F156" s="625" t="s">
        <v>537</v>
      </c>
      <c r="G156" s="626">
        <v>0</v>
      </c>
      <c r="I156" s="627">
        <v>575599.77000000014</v>
      </c>
      <c r="J156" s="627">
        <v>4255.9600000000028</v>
      </c>
      <c r="K156" s="627">
        <f t="shared" si="4"/>
        <v>579855.7300000001</v>
      </c>
      <c r="M156" s="627"/>
      <c r="O156" s="627">
        <v>0</v>
      </c>
      <c r="P156" s="627">
        <v>0</v>
      </c>
      <c r="Q156" s="627">
        <v>0</v>
      </c>
      <c r="R156" s="627">
        <v>0</v>
      </c>
      <c r="S156" s="627"/>
      <c r="T156" s="627"/>
      <c r="U156" s="627"/>
      <c r="V156" s="627"/>
      <c r="W156" s="627"/>
      <c r="X156" s="627"/>
      <c r="Y156" s="627"/>
      <c r="Z156" s="627"/>
      <c r="AA156" s="627">
        <f t="shared" si="5"/>
        <v>0</v>
      </c>
    </row>
    <row r="157" spans="1:27">
      <c r="A157" s="238">
        <v>2293</v>
      </c>
      <c r="B157" s="168">
        <v>103317</v>
      </c>
      <c r="C157" s="168" t="s">
        <v>595</v>
      </c>
      <c r="D157" s="168" t="s">
        <v>386</v>
      </c>
      <c r="E157" s="625" t="s">
        <v>539</v>
      </c>
      <c r="F157" s="625" t="s">
        <v>537</v>
      </c>
      <c r="G157" s="626">
        <v>0</v>
      </c>
      <c r="I157" s="627">
        <v>1033474.2400000016</v>
      </c>
      <c r="J157" s="627">
        <v>82527.95</v>
      </c>
      <c r="K157" s="627">
        <f t="shared" si="4"/>
        <v>1116002.1900000016</v>
      </c>
      <c r="M157" s="627"/>
      <c r="O157" s="627">
        <v>0</v>
      </c>
      <c r="P157" s="627">
        <v>0</v>
      </c>
      <c r="Q157" s="627">
        <v>0</v>
      </c>
      <c r="R157" s="627">
        <v>0</v>
      </c>
      <c r="S157" s="627"/>
      <c r="T157" s="627"/>
      <c r="U157" s="627"/>
      <c r="V157" s="627"/>
      <c r="W157" s="627"/>
      <c r="X157" s="627"/>
      <c r="Y157" s="627"/>
      <c r="Z157" s="627"/>
      <c r="AA157" s="627">
        <f t="shared" si="5"/>
        <v>0</v>
      </c>
    </row>
    <row r="158" spans="1:27">
      <c r="A158" s="238">
        <v>2278</v>
      </c>
      <c r="B158" s="168">
        <v>103310</v>
      </c>
      <c r="C158" s="168" t="s">
        <v>737</v>
      </c>
      <c r="D158" s="168" t="s">
        <v>526</v>
      </c>
      <c r="E158" s="625" t="s">
        <v>539</v>
      </c>
      <c r="F158" s="625" t="s">
        <v>537</v>
      </c>
      <c r="G158" s="626" t="s">
        <v>1017</v>
      </c>
      <c r="I158" s="627">
        <v>512082.35000000021</v>
      </c>
      <c r="J158" s="627">
        <v>28037.59</v>
      </c>
      <c r="K158" s="627">
        <f t="shared" si="4"/>
        <v>540119.94000000018</v>
      </c>
      <c r="M158" s="627"/>
      <c r="O158" s="627">
        <v>0</v>
      </c>
      <c r="P158" s="627">
        <v>0</v>
      </c>
      <c r="Q158" s="627">
        <v>0</v>
      </c>
      <c r="R158" s="627">
        <v>0</v>
      </c>
      <c r="S158" s="627"/>
      <c r="T158" s="627"/>
      <c r="U158" s="627"/>
      <c r="V158" s="627"/>
      <c r="W158" s="627"/>
      <c r="X158" s="627"/>
      <c r="Y158" s="627"/>
      <c r="Z158" s="627"/>
      <c r="AA158" s="627">
        <f t="shared" si="5"/>
        <v>0</v>
      </c>
    </row>
    <row r="159" spans="1:27">
      <c r="A159" s="238">
        <v>2314</v>
      </c>
      <c r="B159" s="168">
        <v>103334</v>
      </c>
      <c r="C159" s="168" t="s">
        <v>687</v>
      </c>
      <c r="D159" s="168" t="s">
        <v>477</v>
      </c>
      <c r="E159" s="625" t="s">
        <v>539</v>
      </c>
      <c r="F159" s="625" t="s">
        <v>537</v>
      </c>
      <c r="G159" s="626" t="s">
        <v>1016</v>
      </c>
      <c r="I159" s="627">
        <v>56695.469999998721</v>
      </c>
      <c r="J159" s="627">
        <v>15666.879999999997</v>
      </c>
      <c r="K159" s="627">
        <f t="shared" si="4"/>
        <v>72362.349999998725</v>
      </c>
      <c r="M159" s="627"/>
      <c r="O159" s="627">
        <v>0</v>
      </c>
      <c r="P159" s="627">
        <v>0</v>
      </c>
      <c r="Q159" s="627">
        <v>0</v>
      </c>
      <c r="R159" s="627">
        <v>0</v>
      </c>
      <c r="S159" s="627"/>
      <c r="T159" s="627"/>
      <c r="U159" s="627"/>
      <c r="V159" s="627"/>
      <c r="W159" s="627"/>
      <c r="X159" s="627"/>
      <c r="Y159" s="627"/>
      <c r="Z159" s="627"/>
      <c r="AA159" s="627">
        <f t="shared" si="5"/>
        <v>0</v>
      </c>
    </row>
    <row r="160" spans="1:27">
      <c r="A160" s="238">
        <v>2317</v>
      </c>
      <c r="B160" s="168">
        <v>103337</v>
      </c>
      <c r="C160" s="168" t="s">
        <v>738</v>
      </c>
      <c r="D160" s="168" t="s">
        <v>527</v>
      </c>
      <c r="E160" s="625" t="s">
        <v>539</v>
      </c>
      <c r="F160" s="625" t="s">
        <v>537</v>
      </c>
      <c r="G160" s="626" t="s">
        <v>1017</v>
      </c>
      <c r="I160" s="627">
        <v>-92002.089999998105</v>
      </c>
      <c r="J160" s="627">
        <v>18324.299999999996</v>
      </c>
      <c r="K160" s="627">
        <f t="shared" si="4"/>
        <v>-73677.789999998116</v>
      </c>
      <c r="M160" s="627"/>
      <c r="O160" s="627">
        <v>0</v>
      </c>
      <c r="P160" s="627">
        <v>0</v>
      </c>
      <c r="Q160" s="627">
        <v>0</v>
      </c>
      <c r="R160" s="627">
        <v>0</v>
      </c>
      <c r="S160" s="627"/>
      <c r="T160" s="627"/>
      <c r="U160" s="627"/>
      <c r="V160" s="627"/>
      <c r="W160" s="627"/>
      <c r="X160" s="627"/>
      <c r="Y160" s="627"/>
      <c r="Z160" s="627"/>
      <c r="AA160" s="627">
        <f t="shared" si="5"/>
        <v>0</v>
      </c>
    </row>
    <row r="161" spans="1:27">
      <c r="A161" s="238">
        <v>2225</v>
      </c>
      <c r="B161" s="168">
        <v>103279</v>
      </c>
      <c r="C161" s="168" t="s">
        <v>596</v>
      </c>
      <c r="D161" s="168" t="s">
        <v>387</v>
      </c>
      <c r="E161" s="625" t="s">
        <v>539</v>
      </c>
      <c r="F161" s="625" t="s">
        <v>537</v>
      </c>
      <c r="G161" s="626">
        <v>0</v>
      </c>
      <c r="I161" s="627">
        <v>577131.90000000084</v>
      </c>
      <c r="J161" s="627">
        <v>58183.75</v>
      </c>
      <c r="K161" s="627">
        <f t="shared" si="4"/>
        <v>635315.65000000084</v>
      </c>
      <c r="M161" s="627"/>
      <c r="O161" s="627">
        <v>0</v>
      </c>
      <c r="P161" s="627">
        <v>0</v>
      </c>
      <c r="Q161" s="627">
        <v>0</v>
      </c>
      <c r="R161" s="627">
        <v>0</v>
      </c>
      <c r="S161" s="627"/>
      <c r="T161" s="627"/>
      <c r="U161" s="627"/>
      <c r="V161" s="627"/>
      <c r="W161" s="627"/>
      <c r="X161" s="627"/>
      <c r="Y161" s="627"/>
      <c r="Z161" s="627"/>
      <c r="AA161" s="627">
        <f t="shared" si="5"/>
        <v>0</v>
      </c>
    </row>
    <row r="162" spans="1:27">
      <c r="A162" s="238">
        <v>2412</v>
      </c>
      <c r="B162" s="168">
        <v>103349</v>
      </c>
      <c r="C162" s="168" t="s">
        <v>597</v>
      </c>
      <c r="D162" s="168" t="s">
        <v>388</v>
      </c>
      <c r="E162" s="625" t="s">
        <v>539</v>
      </c>
      <c r="F162" s="625" t="s">
        <v>537</v>
      </c>
      <c r="G162" s="626">
        <v>0</v>
      </c>
      <c r="I162" s="627">
        <v>616793.31000000029</v>
      </c>
      <c r="J162" s="627">
        <v>70269.25</v>
      </c>
      <c r="K162" s="627">
        <f t="shared" si="4"/>
        <v>687062.56000000029</v>
      </c>
      <c r="M162" s="627"/>
      <c r="O162" s="627">
        <v>0</v>
      </c>
      <c r="P162" s="627">
        <v>0</v>
      </c>
      <c r="Q162" s="627">
        <v>0</v>
      </c>
      <c r="R162" s="627">
        <v>0</v>
      </c>
      <c r="S162" s="627"/>
      <c r="T162" s="627"/>
      <c r="U162" s="627"/>
      <c r="V162" s="627"/>
      <c r="W162" s="627"/>
      <c r="X162" s="627"/>
      <c r="Y162" s="627"/>
      <c r="Z162" s="627"/>
      <c r="AA162" s="627">
        <f t="shared" si="5"/>
        <v>0</v>
      </c>
    </row>
    <row r="163" spans="1:27">
      <c r="A163" s="238">
        <v>3421</v>
      </c>
      <c r="B163" s="168">
        <v>133996</v>
      </c>
      <c r="C163" s="168" t="s">
        <v>739</v>
      </c>
      <c r="D163" s="168" t="s">
        <v>528</v>
      </c>
      <c r="E163" s="625" t="s">
        <v>539</v>
      </c>
      <c r="F163" s="625" t="s">
        <v>537</v>
      </c>
      <c r="G163" s="626" t="s">
        <v>1017</v>
      </c>
      <c r="I163" s="627">
        <v>197343.95000000286</v>
      </c>
      <c r="J163" s="627">
        <v>6901.3099999999977</v>
      </c>
      <c r="K163" s="627">
        <f t="shared" si="4"/>
        <v>204245.26000000286</v>
      </c>
      <c r="M163" s="627"/>
      <c r="O163" s="627">
        <v>0</v>
      </c>
      <c r="P163" s="627">
        <v>0</v>
      </c>
      <c r="Q163" s="627">
        <v>0</v>
      </c>
      <c r="R163" s="627">
        <v>0</v>
      </c>
      <c r="S163" s="627"/>
      <c r="T163" s="627"/>
      <c r="U163" s="627"/>
      <c r="V163" s="627"/>
      <c r="W163" s="627"/>
      <c r="X163" s="627"/>
      <c r="Y163" s="627"/>
      <c r="Z163" s="627"/>
      <c r="AA163" s="627">
        <f t="shared" si="5"/>
        <v>0</v>
      </c>
    </row>
    <row r="164" spans="1:27">
      <c r="A164" s="238">
        <v>2227</v>
      </c>
      <c r="B164" s="168">
        <v>103281</v>
      </c>
      <c r="C164" s="168" t="s">
        <v>688</v>
      </c>
      <c r="D164" s="168" t="s">
        <v>478</v>
      </c>
      <c r="E164" s="625" t="s">
        <v>539</v>
      </c>
      <c r="F164" s="625" t="s">
        <v>537</v>
      </c>
      <c r="G164" s="626" t="s">
        <v>1017</v>
      </c>
      <c r="I164" s="627">
        <v>411321.15588224592</v>
      </c>
      <c r="J164" s="627">
        <v>3763.8</v>
      </c>
      <c r="K164" s="627">
        <f t="shared" si="4"/>
        <v>415084.95588224591</v>
      </c>
      <c r="M164" s="627"/>
      <c r="O164" s="627">
        <v>0</v>
      </c>
      <c r="P164" s="627">
        <v>0</v>
      </c>
      <c r="Q164" s="627">
        <v>0</v>
      </c>
      <c r="R164" s="627">
        <v>0</v>
      </c>
      <c r="S164" s="627"/>
      <c r="T164" s="627"/>
      <c r="U164" s="627"/>
      <c r="V164" s="627"/>
      <c r="W164" s="627"/>
      <c r="X164" s="627"/>
      <c r="Y164" s="627"/>
      <c r="Z164" s="627"/>
      <c r="AA164" s="627">
        <f t="shared" si="5"/>
        <v>0</v>
      </c>
    </row>
    <row r="165" spans="1:27">
      <c r="A165" s="238">
        <v>2231</v>
      </c>
      <c r="B165" s="168">
        <v>103284</v>
      </c>
      <c r="C165" s="168" t="s">
        <v>689</v>
      </c>
      <c r="D165" s="168" t="s">
        <v>479</v>
      </c>
      <c r="E165" s="625" t="s">
        <v>539</v>
      </c>
      <c r="F165" s="625" t="s">
        <v>537</v>
      </c>
      <c r="G165" s="626" t="s">
        <v>1017</v>
      </c>
      <c r="I165" s="627">
        <v>209531.29000000108</v>
      </c>
      <c r="J165" s="627">
        <v>7768.64</v>
      </c>
      <c r="K165" s="627">
        <f t="shared" si="4"/>
        <v>217299.9300000011</v>
      </c>
      <c r="M165" s="627"/>
      <c r="O165" s="627">
        <v>0</v>
      </c>
      <c r="P165" s="627">
        <v>0</v>
      </c>
      <c r="Q165" s="627">
        <v>0</v>
      </c>
      <c r="R165" s="627">
        <v>0</v>
      </c>
      <c r="S165" s="627"/>
      <c r="T165" s="627"/>
      <c r="U165" s="627"/>
      <c r="V165" s="627"/>
      <c r="W165" s="627"/>
      <c r="X165" s="627"/>
      <c r="Y165" s="627"/>
      <c r="Z165" s="627"/>
      <c r="AA165" s="627">
        <f t="shared" si="5"/>
        <v>0</v>
      </c>
    </row>
    <row r="166" spans="1:27">
      <c r="A166" s="238">
        <v>1001</v>
      </c>
      <c r="B166" s="168">
        <v>103120</v>
      </c>
      <c r="C166" s="168" t="s">
        <v>693</v>
      </c>
      <c r="D166" s="168" t="s">
        <v>483</v>
      </c>
      <c r="E166" s="625" t="s">
        <v>536</v>
      </c>
      <c r="F166" s="625" t="s">
        <v>537</v>
      </c>
      <c r="G166" s="626" t="s">
        <v>1017</v>
      </c>
      <c r="I166" s="627">
        <v>-211961.54999999993</v>
      </c>
      <c r="J166" s="627">
        <v>17836.75</v>
      </c>
      <c r="K166" s="627">
        <f t="shared" si="4"/>
        <v>-194124.79999999993</v>
      </c>
      <c r="M166" s="627"/>
      <c r="O166" s="627">
        <v>0</v>
      </c>
      <c r="P166" s="627">
        <v>0</v>
      </c>
      <c r="Q166" s="627">
        <v>0</v>
      </c>
      <c r="R166" s="627">
        <v>0</v>
      </c>
      <c r="S166" s="627"/>
      <c r="T166" s="627"/>
      <c r="U166" s="627"/>
      <c r="V166" s="627"/>
      <c r="W166" s="627"/>
      <c r="X166" s="627"/>
      <c r="Y166" s="627"/>
      <c r="Z166" s="627"/>
      <c r="AA166" s="627">
        <f t="shared" si="5"/>
        <v>0</v>
      </c>
    </row>
    <row r="167" spans="1:27">
      <c r="A167" s="238">
        <v>2464</v>
      </c>
      <c r="B167" s="168">
        <v>103390</v>
      </c>
      <c r="C167" s="168" t="s">
        <v>701</v>
      </c>
      <c r="D167" s="168" t="s">
        <v>490</v>
      </c>
      <c r="E167" s="625" t="s">
        <v>539</v>
      </c>
      <c r="F167" s="625" t="s">
        <v>537</v>
      </c>
      <c r="G167" s="626" t="s">
        <v>1017</v>
      </c>
      <c r="I167" s="627">
        <v>-374598.72999999963</v>
      </c>
      <c r="J167" s="627">
        <v>16820.559999999998</v>
      </c>
      <c r="K167" s="627">
        <f t="shared" si="4"/>
        <v>-357778.16999999963</v>
      </c>
      <c r="M167" s="627"/>
      <c r="O167" s="627">
        <v>0</v>
      </c>
      <c r="P167" s="627">
        <v>0</v>
      </c>
      <c r="Q167" s="627">
        <v>0</v>
      </c>
      <c r="R167" s="627">
        <v>0</v>
      </c>
      <c r="S167" s="627"/>
      <c r="T167" s="627"/>
      <c r="U167" s="627"/>
      <c r="V167" s="627"/>
      <c r="W167" s="627"/>
      <c r="X167" s="627"/>
      <c r="Y167" s="627"/>
      <c r="Z167" s="627"/>
      <c r="AA167" s="627">
        <f t="shared" si="5"/>
        <v>0</v>
      </c>
    </row>
    <row r="168" spans="1:27">
      <c r="A168" s="238">
        <v>2189</v>
      </c>
      <c r="B168" s="168">
        <v>103265</v>
      </c>
      <c r="C168" s="168" t="s">
        <v>709</v>
      </c>
      <c r="D168" s="168" t="s">
        <v>498</v>
      </c>
      <c r="E168" s="625" t="s">
        <v>539</v>
      </c>
      <c r="F168" s="625" t="s">
        <v>537</v>
      </c>
      <c r="G168" s="626" t="s">
        <v>1017</v>
      </c>
      <c r="I168" s="627">
        <v>-481557.54000000155</v>
      </c>
      <c r="J168" s="627">
        <v>3803.01</v>
      </c>
      <c r="K168" s="627">
        <f t="shared" si="4"/>
        <v>-477754.53000000154</v>
      </c>
      <c r="M168" s="627"/>
      <c r="O168" s="627">
        <v>0</v>
      </c>
      <c r="P168" s="627">
        <v>0</v>
      </c>
      <c r="Q168" s="627">
        <v>0</v>
      </c>
      <c r="R168" s="627">
        <v>0</v>
      </c>
      <c r="S168" s="627"/>
      <c r="T168" s="627"/>
      <c r="U168" s="627"/>
      <c r="V168" s="627"/>
      <c r="W168" s="627"/>
      <c r="X168" s="627"/>
      <c r="Y168" s="627"/>
      <c r="Z168" s="627"/>
      <c r="AA168" s="627">
        <f t="shared" si="5"/>
        <v>0</v>
      </c>
    </row>
    <row r="169" spans="1:27">
      <c r="A169" s="238">
        <v>7060</v>
      </c>
      <c r="B169" s="168">
        <v>103630</v>
      </c>
      <c r="C169" s="168" t="s">
        <v>710</v>
      </c>
      <c r="D169" s="168" t="s">
        <v>499</v>
      </c>
      <c r="E169" s="625" t="s">
        <v>541</v>
      </c>
      <c r="F169" s="625" t="s">
        <v>537</v>
      </c>
      <c r="G169" s="626" t="s">
        <v>1017</v>
      </c>
      <c r="I169" s="627">
        <v>-157003.14999998829</v>
      </c>
      <c r="J169" s="627">
        <v>85432.59</v>
      </c>
      <c r="K169" s="627">
        <f t="shared" si="4"/>
        <v>-71570.559999988298</v>
      </c>
      <c r="M169" s="627"/>
      <c r="O169" s="627">
        <v>0</v>
      </c>
      <c r="P169" s="627">
        <v>0</v>
      </c>
      <c r="Q169" s="627">
        <v>0</v>
      </c>
      <c r="R169" s="627">
        <v>0</v>
      </c>
      <c r="S169" s="627"/>
      <c r="T169" s="627"/>
      <c r="U169" s="627"/>
      <c r="V169" s="627"/>
      <c r="W169" s="627"/>
      <c r="X169" s="627"/>
      <c r="Y169" s="627"/>
      <c r="Z169" s="627"/>
      <c r="AA169" s="627">
        <f t="shared" si="5"/>
        <v>0</v>
      </c>
    </row>
    <row r="170" spans="1:27">
      <c r="A170" s="238">
        <v>3380</v>
      </c>
      <c r="B170" s="168">
        <v>103465</v>
      </c>
      <c r="C170" s="168" t="s">
        <v>721</v>
      </c>
      <c r="D170" s="168" t="s">
        <v>510</v>
      </c>
      <c r="E170" s="625" t="s">
        <v>539</v>
      </c>
      <c r="F170" s="625" t="s">
        <v>799</v>
      </c>
      <c r="G170" s="626" t="s">
        <v>1000</v>
      </c>
      <c r="I170" s="627">
        <v>-108866.06000000116</v>
      </c>
      <c r="J170" s="627">
        <v>0</v>
      </c>
      <c r="K170" s="627">
        <f t="shared" si="4"/>
        <v>-108866.06000000116</v>
      </c>
      <c r="M170" s="627"/>
      <c r="O170" s="627">
        <v>0</v>
      </c>
      <c r="P170" s="627">
        <v>0</v>
      </c>
      <c r="Q170" s="627">
        <v>0</v>
      </c>
      <c r="R170" s="627">
        <v>0</v>
      </c>
      <c r="S170" s="627"/>
      <c r="T170" s="627"/>
      <c r="U170" s="627"/>
      <c r="V170" s="627"/>
      <c r="W170" s="627"/>
      <c r="X170" s="627"/>
      <c r="Y170" s="627"/>
      <c r="Z170" s="627"/>
      <c r="AA170" s="627">
        <f t="shared" si="5"/>
        <v>0</v>
      </c>
    </row>
    <row r="171" spans="1:27">
      <c r="A171" s="238">
        <v>1019</v>
      </c>
      <c r="B171" s="168">
        <v>103132</v>
      </c>
      <c r="C171" s="168" t="s">
        <v>733</v>
      </c>
      <c r="D171" s="168" t="s">
        <v>522</v>
      </c>
      <c r="E171" s="625" t="s">
        <v>536</v>
      </c>
      <c r="F171" s="625" t="s">
        <v>537</v>
      </c>
      <c r="G171" s="626" t="s">
        <v>1017</v>
      </c>
      <c r="I171" s="627">
        <v>-241139.93999999989</v>
      </c>
      <c r="J171" s="627">
        <v>47827.95</v>
      </c>
      <c r="K171" s="627">
        <f t="shared" si="4"/>
        <v>-193311.98999999987</v>
      </c>
      <c r="M171" s="627"/>
      <c r="O171" s="627">
        <v>0</v>
      </c>
      <c r="P171" s="627">
        <v>0</v>
      </c>
      <c r="Q171" s="627">
        <v>0</v>
      </c>
      <c r="R171" s="627">
        <v>0</v>
      </c>
      <c r="S171" s="627"/>
      <c r="T171" s="627"/>
      <c r="U171" s="627"/>
      <c r="V171" s="627"/>
      <c r="W171" s="627"/>
      <c r="X171" s="627"/>
      <c r="Y171" s="627"/>
      <c r="Z171" s="627"/>
      <c r="AA171" s="627">
        <f t="shared" si="5"/>
        <v>0</v>
      </c>
    </row>
    <row r="172" spans="1:27">
      <c r="A172" s="238">
        <v>2445</v>
      </c>
      <c r="B172" s="168">
        <v>103372</v>
      </c>
      <c r="C172" s="168" t="s">
        <v>736</v>
      </c>
      <c r="D172" s="168" t="s">
        <v>525</v>
      </c>
      <c r="E172" s="625" t="s">
        <v>539</v>
      </c>
      <c r="F172" s="625" t="s">
        <v>537</v>
      </c>
      <c r="G172" s="626" t="s">
        <v>1016</v>
      </c>
      <c r="I172" s="627">
        <v>23520.619999999151</v>
      </c>
      <c r="J172" s="627">
        <v>13518.599999999999</v>
      </c>
      <c r="K172" s="627">
        <f t="shared" si="4"/>
        <v>37039.21999999915</v>
      </c>
      <c r="M172" s="627"/>
      <c r="O172" s="627">
        <v>0</v>
      </c>
      <c r="P172" s="627">
        <v>0</v>
      </c>
      <c r="Q172" s="627">
        <v>0</v>
      </c>
      <c r="R172" s="627">
        <v>0</v>
      </c>
      <c r="S172" s="627"/>
      <c r="T172" s="627"/>
      <c r="U172" s="627"/>
      <c r="V172" s="627"/>
      <c r="W172" s="627"/>
      <c r="X172" s="627"/>
      <c r="Y172" s="627"/>
      <c r="Z172" s="627"/>
      <c r="AA172" s="627">
        <f t="shared" si="5"/>
        <v>0</v>
      </c>
    </row>
    <row r="173" spans="1:27">
      <c r="A173" s="238">
        <v>2014</v>
      </c>
      <c r="B173" s="168">
        <v>103162</v>
      </c>
      <c r="C173" s="168" t="s">
        <v>607</v>
      </c>
      <c r="D173" s="168" t="s">
        <v>397</v>
      </c>
      <c r="E173" s="625" t="s">
        <v>539</v>
      </c>
      <c r="F173" s="625" t="s">
        <v>537</v>
      </c>
      <c r="G173" s="626" t="s">
        <v>1017</v>
      </c>
      <c r="I173" s="627">
        <v>-317369.06000000233</v>
      </c>
      <c r="J173" s="627">
        <v>8587.75</v>
      </c>
      <c r="K173" s="627">
        <f t="shared" si="4"/>
        <v>-308781.31000000233</v>
      </c>
      <c r="M173" s="627"/>
      <c r="O173" s="627">
        <v>0</v>
      </c>
      <c r="P173" s="627">
        <v>0</v>
      </c>
      <c r="Q173" s="627">
        <v>0</v>
      </c>
      <c r="R173" s="627">
        <v>0</v>
      </c>
      <c r="S173" s="627"/>
      <c r="T173" s="627"/>
      <c r="U173" s="627"/>
      <c r="V173" s="627"/>
      <c r="W173" s="627"/>
      <c r="X173" s="627"/>
      <c r="Y173" s="627"/>
      <c r="Z173" s="627"/>
      <c r="AA173" s="627">
        <f t="shared" si="5"/>
        <v>0</v>
      </c>
    </row>
    <row r="174" spans="1:27">
      <c r="A174" s="238">
        <v>7052</v>
      </c>
      <c r="B174" s="168">
        <v>103627</v>
      </c>
      <c r="C174" s="168" t="s">
        <v>608</v>
      </c>
      <c r="D174" s="168" t="s">
        <v>398</v>
      </c>
      <c r="E174" s="625" t="s">
        <v>541</v>
      </c>
      <c r="F174" s="625" t="s">
        <v>537</v>
      </c>
      <c r="G174" s="626" t="s">
        <v>1017</v>
      </c>
      <c r="I174" s="627">
        <v>-545844.02999999397</v>
      </c>
      <c r="J174" s="627">
        <v>8839.75</v>
      </c>
      <c r="K174" s="627">
        <f t="shared" si="4"/>
        <v>-537004.27999999397</v>
      </c>
      <c r="M174" s="627"/>
      <c r="O174" s="627">
        <v>0</v>
      </c>
      <c r="P174" s="627">
        <v>0</v>
      </c>
      <c r="Q174" s="627">
        <v>0</v>
      </c>
      <c r="R174" s="627">
        <v>0</v>
      </c>
      <c r="S174" s="627"/>
      <c r="T174" s="627"/>
      <c r="U174" s="627"/>
      <c r="V174" s="627"/>
      <c r="W174" s="627"/>
      <c r="X174" s="627"/>
      <c r="Y174" s="627"/>
      <c r="Z174" s="627"/>
      <c r="AA174" s="627">
        <f t="shared" si="5"/>
        <v>0</v>
      </c>
    </row>
    <row r="175" spans="1:27">
      <c r="A175" s="238">
        <v>2456</v>
      </c>
      <c r="B175" s="168">
        <v>103383</v>
      </c>
      <c r="C175" s="168" t="s">
        <v>612</v>
      </c>
      <c r="D175" s="168" t="s">
        <v>402</v>
      </c>
      <c r="E175" s="625" t="s">
        <v>539</v>
      </c>
      <c r="F175" s="625" t="s">
        <v>537</v>
      </c>
      <c r="G175" s="626" t="s">
        <v>1017</v>
      </c>
      <c r="I175" s="627">
        <v>-148547.98000000091</v>
      </c>
      <c r="J175" s="627">
        <v>4030.27</v>
      </c>
      <c r="K175" s="627">
        <f t="shared" si="4"/>
        <v>-144517.71000000092</v>
      </c>
      <c r="M175" s="627"/>
      <c r="O175" s="627">
        <v>0</v>
      </c>
      <c r="P175" s="627">
        <v>0</v>
      </c>
      <c r="Q175" s="627">
        <v>0</v>
      </c>
      <c r="R175" s="627">
        <v>0</v>
      </c>
      <c r="S175" s="627"/>
      <c r="T175" s="627"/>
      <c r="U175" s="627"/>
      <c r="V175" s="627"/>
      <c r="W175" s="627"/>
      <c r="X175" s="627"/>
      <c r="Y175" s="627"/>
      <c r="Z175" s="627"/>
      <c r="AA175" s="627">
        <f t="shared" si="5"/>
        <v>0</v>
      </c>
    </row>
    <row r="176" spans="1:27">
      <c r="A176" s="238">
        <v>2254</v>
      </c>
      <c r="B176" s="168">
        <v>103300</v>
      </c>
      <c r="C176" s="168" t="s">
        <v>613</v>
      </c>
      <c r="D176" s="168" t="s">
        <v>403</v>
      </c>
      <c r="E176" s="625" t="s">
        <v>539</v>
      </c>
      <c r="F176" s="625" t="s">
        <v>537</v>
      </c>
      <c r="G176" s="626" t="s">
        <v>1017</v>
      </c>
      <c r="I176" s="627">
        <v>-1491332.2199999972</v>
      </c>
      <c r="J176" s="627">
        <v>10300</v>
      </c>
      <c r="K176" s="627">
        <f t="shared" si="4"/>
        <v>-1481032.2199999972</v>
      </c>
      <c r="M176" s="627"/>
      <c r="O176" s="627">
        <v>0</v>
      </c>
      <c r="P176" s="627">
        <v>0</v>
      </c>
      <c r="Q176" s="627">
        <v>0</v>
      </c>
      <c r="R176" s="627">
        <v>0</v>
      </c>
      <c r="S176" s="627"/>
      <c r="T176" s="627"/>
      <c r="U176" s="627"/>
      <c r="V176" s="627"/>
      <c r="W176" s="627"/>
      <c r="X176" s="627"/>
      <c r="Y176" s="627"/>
      <c r="Z176" s="627"/>
      <c r="AA176" s="627">
        <f t="shared" si="5"/>
        <v>0</v>
      </c>
    </row>
    <row r="177" spans="1:27">
      <c r="A177" s="238">
        <v>1802</v>
      </c>
      <c r="B177" s="168">
        <v>103150</v>
      </c>
      <c r="C177" s="168" t="s">
        <v>604</v>
      </c>
      <c r="D177" s="168" t="s">
        <v>394</v>
      </c>
      <c r="E177" s="625" t="s">
        <v>536</v>
      </c>
      <c r="F177" s="625" t="s">
        <v>537</v>
      </c>
      <c r="G177" s="626" t="s">
        <v>1017</v>
      </c>
      <c r="I177" s="627">
        <v>67293</v>
      </c>
      <c r="J177" s="627">
        <v>20329</v>
      </c>
      <c r="K177" s="627">
        <f t="shared" si="4"/>
        <v>87622</v>
      </c>
      <c r="M177" s="627"/>
      <c r="O177" s="627">
        <v>0</v>
      </c>
      <c r="P177" s="627">
        <v>0</v>
      </c>
      <c r="Q177" s="627">
        <v>0</v>
      </c>
      <c r="R177" s="627">
        <v>0</v>
      </c>
      <c r="S177" s="627"/>
      <c r="T177" s="627"/>
      <c r="U177" s="627"/>
      <c r="V177" s="627"/>
      <c r="W177" s="627"/>
      <c r="X177" s="627"/>
      <c r="Y177" s="627"/>
      <c r="Z177" s="627"/>
      <c r="AA177" s="627">
        <f t="shared" si="5"/>
        <v>0</v>
      </c>
    </row>
    <row r="178" spans="1:27">
      <c r="A178" s="238">
        <v>2079</v>
      </c>
      <c r="B178" s="168">
        <v>103200</v>
      </c>
      <c r="C178" s="168" t="s">
        <v>623</v>
      </c>
      <c r="D178" s="168" t="s">
        <v>413</v>
      </c>
      <c r="E178" s="625" t="s">
        <v>539</v>
      </c>
      <c r="F178" s="625" t="s">
        <v>537</v>
      </c>
      <c r="G178" s="626" t="s">
        <v>1017</v>
      </c>
      <c r="I178" s="627">
        <v>33072.889999998559</v>
      </c>
      <c r="J178" s="627">
        <v>26473.19</v>
      </c>
      <c r="K178" s="627">
        <f t="shared" si="4"/>
        <v>59546.079999998561</v>
      </c>
      <c r="M178" s="627"/>
      <c r="O178" s="627">
        <v>0</v>
      </c>
      <c r="P178" s="627">
        <v>0</v>
      </c>
      <c r="Q178" s="627">
        <v>0</v>
      </c>
      <c r="R178" s="627">
        <v>0</v>
      </c>
      <c r="S178" s="627"/>
      <c r="T178" s="627"/>
      <c r="U178" s="627"/>
      <c r="V178" s="627"/>
      <c r="W178" s="627"/>
      <c r="X178" s="627"/>
      <c r="Y178" s="627"/>
      <c r="Z178" s="627"/>
      <c r="AA178" s="627">
        <f t="shared" si="5"/>
        <v>0</v>
      </c>
    </row>
    <row r="179" spans="1:27">
      <c r="A179" s="238">
        <v>2091</v>
      </c>
      <c r="B179" s="168">
        <v>103208</v>
      </c>
      <c r="C179" s="168" t="s">
        <v>628</v>
      </c>
      <c r="D179" s="168" t="s">
        <v>418</v>
      </c>
      <c r="E179" s="625" t="s">
        <v>539</v>
      </c>
      <c r="F179" s="625" t="s">
        <v>537</v>
      </c>
      <c r="G179" s="626" t="s">
        <v>1017</v>
      </c>
      <c r="I179" s="627">
        <v>-649714.38999999873</v>
      </c>
      <c r="J179" s="627">
        <v>6098.13</v>
      </c>
      <c r="K179" s="627">
        <f t="shared" si="4"/>
        <v>-643616.25999999873</v>
      </c>
      <c r="M179" s="627"/>
      <c r="O179" s="627">
        <v>0</v>
      </c>
      <c r="P179" s="627">
        <v>0</v>
      </c>
      <c r="Q179" s="627">
        <v>0</v>
      </c>
      <c r="R179" s="627">
        <v>0</v>
      </c>
      <c r="S179" s="627"/>
      <c r="T179" s="627"/>
      <c r="U179" s="627"/>
      <c r="V179" s="627"/>
      <c r="W179" s="627"/>
      <c r="X179" s="627"/>
      <c r="Y179" s="627"/>
      <c r="Z179" s="627"/>
      <c r="AA179" s="627">
        <f t="shared" si="5"/>
        <v>0</v>
      </c>
    </row>
    <row r="180" spans="1:27">
      <c r="A180" s="238">
        <v>2477</v>
      </c>
      <c r="B180" s="168">
        <v>132261</v>
      </c>
      <c r="C180" s="168" t="s">
        <v>630</v>
      </c>
      <c r="D180" s="168" t="s">
        <v>420</v>
      </c>
      <c r="E180" s="625" t="s">
        <v>539</v>
      </c>
      <c r="F180" s="625" t="s">
        <v>537</v>
      </c>
      <c r="G180" s="626" t="s">
        <v>1017</v>
      </c>
      <c r="I180" s="627">
        <v>-501301.39000000671</v>
      </c>
      <c r="J180" s="627">
        <v>45835.49</v>
      </c>
      <c r="K180" s="627">
        <f t="shared" si="4"/>
        <v>-455465.90000000672</v>
      </c>
      <c r="M180" s="627"/>
      <c r="O180" s="627">
        <v>0</v>
      </c>
      <c r="P180" s="627">
        <v>0</v>
      </c>
      <c r="Q180" s="627">
        <v>0</v>
      </c>
      <c r="R180" s="627">
        <v>0</v>
      </c>
      <c r="S180" s="627"/>
      <c r="T180" s="627"/>
      <c r="U180" s="627"/>
      <c r="V180" s="627"/>
      <c r="W180" s="627"/>
      <c r="X180" s="627"/>
      <c r="Y180" s="627"/>
      <c r="Z180" s="627"/>
      <c r="AA180" s="627">
        <f t="shared" si="5"/>
        <v>0</v>
      </c>
    </row>
    <row r="181" spans="1:27">
      <c r="A181" s="238">
        <v>3436</v>
      </c>
      <c r="B181" s="168">
        <v>136440</v>
      </c>
      <c r="C181" s="168" t="s">
        <v>631</v>
      </c>
      <c r="D181" s="168" t="s">
        <v>421</v>
      </c>
      <c r="E181" s="625" t="s">
        <v>539</v>
      </c>
      <c r="F181" s="625" t="s">
        <v>537</v>
      </c>
      <c r="G181" s="626" t="s">
        <v>1017</v>
      </c>
      <c r="I181" s="627">
        <v>-613836.30000000005</v>
      </c>
      <c r="J181" s="627">
        <v>0</v>
      </c>
      <c r="K181" s="627">
        <f t="shared" si="4"/>
        <v>-613836.30000000005</v>
      </c>
      <c r="M181" s="627"/>
      <c r="O181" s="627">
        <v>0</v>
      </c>
      <c r="P181" s="627">
        <v>0</v>
      </c>
      <c r="Q181" s="627">
        <v>0</v>
      </c>
      <c r="R181" s="627">
        <v>0</v>
      </c>
      <c r="S181" s="627"/>
      <c r="T181" s="627"/>
      <c r="U181" s="627"/>
      <c r="V181" s="627"/>
      <c r="W181" s="627"/>
      <c r="X181" s="627"/>
      <c r="Y181" s="627"/>
      <c r="Z181" s="627"/>
      <c r="AA181" s="627">
        <f t="shared" si="5"/>
        <v>0</v>
      </c>
    </row>
    <row r="182" spans="1:27">
      <c r="A182" s="238">
        <v>2474</v>
      </c>
      <c r="B182" s="168">
        <v>131672</v>
      </c>
      <c r="C182" s="168" t="s">
        <v>634</v>
      </c>
      <c r="D182" s="168" t="s">
        <v>424</v>
      </c>
      <c r="E182" s="625" t="s">
        <v>539</v>
      </c>
      <c r="F182" s="625" t="s">
        <v>537</v>
      </c>
      <c r="G182" s="626" t="s">
        <v>1017</v>
      </c>
      <c r="I182" s="627">
        <v>-12990.549999999334</v>
      </c>
      <c r="J182" s="627">
        <v>29847.75</v>
      </c>
      <c r="K182" s="627">
        <f t="shared" si="4"/>
        <v>16857.200000000666</v>
      </c>
      <c r="M182" s="627"/>
      <c r="O182" s="627">
        <v>0</v>
      </c>
      <c r="P182" s="627">
        <v>0</v>
      </c>
      <c r="Q182" s="627">
        <v>0</v>
      </c>
      <c r="R182" s="627">
        <v>0</v>
      </c>
      <c r="S182" s="627"/>
      <c r="T182" s="627"/>
      <c r="U182" s="627"/>
      <c r="V182" s="627"/>
      <c r="W182" s="627"/>
      <c r="X182" s="627"/>
      <c r="Y182" s="627"/>
      <c r="Z182" s="627"/>
      <c r="AA182" s="627">
        <f t="shared" si="5"/>
        <v>0</v>
      </c>
    </row>
    <row r="183" spans="1:27">
      <c r="A183" s="238">
        <v>3352</v>
      </c>
      <c r="B183" s="168">
        <v>103444</v>
      </c>
      <c r="C183" s="168" t="s">
        <v>637</v>
      </c>
      <c r="D183" s="168" t="s">
        <v>427</v>
      </c>
      <c r="E183" s="625" t="s">
        <v>539</v>
      </c>
      <c r="F183" s="625" t="s">
        <v>537</v>
      </c>
      <c r="G183" s="626" t="s">
        <v>1017</v>
      </c>
      <c r="I183" s="627">
        <v>-141676.62000000064</v>
      </c>
      <c r="J183" s="627">
        <v>0</v>
      </c>
      <c r="K183" s="627">
        <f t="shared" si="4"/>
        <v>-141676.62000000064</v>
      </c>
      <c r="M183" s="627"/>
      <c r="O183" s="627">
        <v>0</v>
      </c>
      <c r="P183" s="627">
        <v>0</v>
      </c>
      <c r="Q183" s="627">
        <v>0</v>
      </c>
      <c r="R183" s="627">
        <v>0</v>
      </c>
      <c r="S183" s="627"/>
      <c r="T183" s="627"/>
      <c r="U183" s="627"/>
      <c r="V183" s="627"/>
      <c r="W183" s="627"/>
      <c r="X183" s="627"/>
      <c r="Y183" s="627"/>
      <c r="Z183" s="627"/>
      <c r="AA183" s="627">
        <f t="shared" si="5"/>
        <v>0</v>
      </c>
    </row>
    <row r="184" spans="1:27">
      <c r="A184" s="238">
        <v>2005</v>
      </c>
      <c r="B184" s="168">
        <v>134098</v>
      </c>
      <c r="C184" s="168" t="s">
        <v>638</v>
      </c>
      <c r="D184" s="168" t="s">
        <v>428</v>
      </c>
      <c r="E184" s="625" t="s">
        <v>539</v>
      </c>
      <c r="F184" s="625" t="s">
        <v>537</v>
      </c>
      <c r="G184" s="626" t="s">
        <v>1017</v>
      </c>
      <c r="I184" s="627">
        <v>75644.140000003565</v>
      </c>
      <c r="J184" s="627">
        <v>0</v>
      </c>
      <c r="K184" s="627">
        <f t="shared" si="4"/>
        <v>75644.140000003565</v>
      </c>
      <c r="M184" s="627"/>
      <c r="O184" s="627">
        <v>0</v>
      </c>
      <c r="P184" s="627">
        <v>0</v>
      </c>
      <c r="Q184" s="627">
        <v>0</v>
      </c>
      <c r="R184" s="627">
        <v>0</v>
      </c>
      <c r="S184" s="627"/>
      <c r="T184" s="627"/>
      <c r="U184" s="627"/>
      <c r="V184" s="627"/>
      <c r="W184" s="627"/>
      <c r="X184" s="627"/>
      <c r="Y184" s="627"/>
      <c r="Z184" s="627"/>
      <c r="AA184" s="627">
        <f t="shared" si="5"/>
        <v>0</v>
      </c>
    </row>
    <row r="185" spans="1:27">
      <c r="A185" s="238">
        <v>1024</v>
      </c>
      <c r="B185" s="168">
        <v>103137</v>
      </c>
      <c r="C185" s="168" t="s">
        <v>643</v>
      </c>
      <c r="D185" s="168" t="s">
        <v>433</v>
      </c>
      <c r="E185" s="625" t="s">
        <v>536</v>
      </c>
      <c r="F185" s="625" t="s">
        <v>537</v>
      </c>
      <c r="G185" s="626" t="s">
        <v>1016</v>
      </c>
      <c r="I185" s="627">
        <v>-494440.36</v>
      </c>
      <c r="J185" s="627">
        <v>17941</v>
      </c>
      <c r="K185" s="627">
        <f>I185+J185</f>
        <v>-476499.36</v>
      </c>
      <c r="M185" s="627">
        <f>K185</f>
        <v>-476499.36</v>
      </c>
      <c r="O185" s="627">
        <v>0</v>
      </c>
      <c r="P185" s="628">
        <v>219979.31057691597</v>
      </c>
      <c r="Q185" s="627">
        <v>86867</v>
      </c>
      <c r="R185" s="627">
        <v>0</v>
      </c>
      <c r="S185" s="627"/>
      <c r="T185" s="627"/>
      <c r="U185" s="627"/>
      <c r="V185" s="627"/>
      <c r="W185" s="627"/>
      <c r="X185" s="627"/>
      <c r="Y185" s="627"/>
      <c r="Z185" s="627"/>
      <c r="AA185" s="627">
        <f t="shared" si="5"/>
        <v>783345.67057691596</v>
      </c>
    </row>
    <row r="186" spans="1:27">
      <c r="A186" s="238">
        <v>2004</v>
      </c>
      <c r="B186" s="168">
        <v>134094</v>
      </c>
      <c r="C186" s="168" t="s">
        <v>645</v>
      </c>
      <c r="D186" s="168" t="s">
        <v>435</v>
      </c>
      <c r="E186" s="625" t="s">
        <v>539</v>
      </c>
      <c r="F186" s="625" t="s">
        <v>537</v>
      </c>
      <c r="G186" s="626" t="s">
        <v>1017</v>
      </c>
      <c r="I186" s="627">
        <v>-61147.049999999785</v>
      </c>
      <c r="J186" s="627">
        <v>39010.620000000003</v>
      </c>
      <c r="K186" s="627">
        <f t="shared" ref="K186:K205" si="6">I186+J186</f>
        <v>-22136.429999999782</v>
      </c>
      <c r="M186" s="627"/>
      <c r="O186" s="627">
        <v>0</v>
      </c>
      <c r="P186" s="627">
        <v>0</v>
      </c>
      <c r="Q186" s="627">
        <v>0</v>
      </c>
      <c r="R186" s="627">
        <v>0</v>
      </c>
      <c r="S186" s="627"/>
      <c r="T186" s="627"/>
      <c r="U186" s="627"/>
      <c r="V186" s="627"/>
      <c r="W186" s="627"/>
      <c r="X186" s="627"/>
      <c r="Y186" s="627"/>
      <c r="Z186" s="627"/>
      <c r="AA186" s="627">
        <f t="shared" si="5"/>
        <v>0</v>
      </c>
    </row>
    <row r="187" spans="1:27">
      <c r="A187" s="238">
        <v>3431</v>
      </c>
      <c r="B187" s="168">
        <v>134774</v>
      </c>
      <c r="C187" s="168" t="s">
        <v>651</v>
      </c>
      <c r="D187" s="168" t="s">
        <v>441</v>
      </c>
      <c r="E187" s="625" t="s">
        <v>539</v>
      </c>
      <c r="F187" s="625" t="s">
        <v>537</v>
      </c>
      <c r="G187" s="626" t="s">
        <v>1017</v>
      </c>
      <c r="I187" s="627">
        <v>-236637.06000000759</v>
      </c>
      <c r="J187" s="627">
        <v>30867.37</v>
      </c>
      <c r="K187" s="627">
        <f t="shared" si="6"/>
        <v>-205769.6900000076</v>
      </c>
      <c r="M187" s="627"/>
      <c r="O187" s="627">
        <v>0</v>
      </c>
      <c r="P187" s="627">
        <v>0</v>
      </c>
      <c r="Q187" s="627">
        <v>0</v>
      </c>
      <c r="R187" s="627">
        <v>0</v>
      </c>
      <c r="S187" s="627"/>
      <c r="T187" s="627"/>
      <c r="U187" s="627"/>
      <c r="V187" s="627"/>
      <c r="W187" s="627"/>
      <c r="X187" s="627"/>
      <c r="Y187" s="627"/>
      <c r="Z187" s="627"/>
      <c r="AA187" s="627">
        <f t="shared" si="5"/>
        <v>0</v>
      </c>
    </row>
    <row r="188" spans="1:27">
      <c r="A188" s="238">
        <v>1028</v>
      </c>
      <c r="B188" s="168">
        <v>103141</v>
      </c>
      <c r="C188" s="168" t="s">
        <v>652</v>
      </c>
      <c r="D188" s="168" t="s">
        <v>442</v>
      </c>
      <c r="E188" s="625" t="s">
        <v>536</v>
      </c>
      <c r="F188" s="625" t="s">
        <v>537</v>
      </c>
      <c r="G188" s="626" t="s">
        <v>1016</v>
      </c>
      <c r="I188" s="627">
        <v>-107490.8114867999</v>
      </c>
      <c r="J188" s="627">
        <v>147.75</v>
      </c>
      <c r="K188" s="627">
        <f t="shared" si="6"/>
        <v>-107343.0614867999</v>
      </c>
      <c r="M188" s="627"/>
      <c r="O188" s="627">
        <v>0</v>
      </c>
      <c r="P188" s="627">
        <v>0</v>
      </c>
      <c r="Q188" s="628">
        <v>107490.81</v>
      </c>
      <c r="R188" s="627">
        <v>0</v>
      </c>
      <c r="S188" s="627"/>
      <c r="T188" s="627"/>
      <c r="U188" s="627"/>
      <c r="V188" s="627"/>
      <c r="W188" s="627"/>
      <c r="X188" s="627"/>
      <c r="Y188" s="627"/>
      <c r="Z188" s="627"/>
      <c r="AA188" s="627">
        <f>(-M188)+SUM(O188:Z188)</f>
        <v>107490.81</v>
      </c>
    </row>
    <row r="189" spans="1:27">
      <c r="A189" s="238">
        <v>2150</v>
      </c>
      <c r="B189" s="168">
        <v>103241</v>
      </c>
      <c r="C189" s="168" t="s">
        <v>654</v>
      </c>
      <c r="D189" s="168" t="s">
        <v>444</v>
      </c>
      <c r="E189" s="625" t="s">
        <v>539</v>
      </c>
      <c r="F189" s="625" t="s">
        <v>537</v>
      </c>
      <c r="G189" s="626" t="s">
        <v>1017</v>
      </c>
      <c r="I189" s="627">
        <v>-591807.22999999952</v>
      </c>
      <c r="J189" s="627">
        <v>46591.109999999993</v>
      </c>
      <c r="K189" s="627">
        <f t="shared" si="6"/>
        <v>-545216.11999999953</v>
      </c>
      <c r="M189" s="627"/>
      <c r="O189" s="627">
        <v>0</v>
      </c>
      <c r="P189" s="627">
        <v>0</v>
      </c>
      <c r="Q189" s="627">
        <v>0</v>
      </c>
      <c r="R189" s="627">
        <v>0</v>
      </c>
      <c r="S189" s="627"/>
      <c r="T189" s="627"/>
      <c r="U189" s="627"/>
      <c r="V189" s="627"/>
      <c r="W189" s="627"/>
      <c r="X189" s="627"/>
      <c r="Y189" s="627"/>
      <c r="Z189" s="627"/>
      <c r="AA189" s="627">
        <f t="shared" si="5"/>
        <v>0</v>
      </c>
    </row>
    <row r="190" spans="1:27">
      <c r="A190" s="238">
        <v>2425</v>
      </c>
      <c r="B190" s="168">
        <v>103356</v>
      </c>
      <c r="C190" s="168" t="s">
        <v>655</v>
      </c>
      <c r="D190" s="168" t="s">
        <v>445</v>
      </c>
      <c r="E190" s="625" t="s">
        <v>539</v>
      </c>
      <c r="F190" s="625" t="s">
        <v>537</v>
      </c>
      <c r="G190" s="626" t="s">
        <v>1017</v>
      </c>
      <c r="I190" s="627">
        <v>-222996.50999999867</v>
      </c>
      <c r="J190" s="627">
        <v>22306.16</v>
      </c>
      <c r="K190" s="627">
        <f t="shared" si="6"/>
        <v>-200690.34999999867</v>
      </c>
      <c r="M190" s="627"/>
      <c r="O190" s="627">
        <v>0</v>
      </c>
      <c r="P190" s="627">
        <v>0</v>
      </c>
      <c r="Q190" s="627">
        <v>0</v>
      </c>
      <c r="R190" s="627">
        <v>0</v>
      </c>
      <c r="S190" s="627"/>
      <c r="T190" s="627"/>
      <c r="U190" s="627"/>
      <c r="V190" s="627"/>
      <c r="W190" s="627"/>
      <c r="X190" s="627"/>
      <c r="Y190" s="627"/>
      <c r="Z190" s="627"/>
      <c r="AA190" s="627">
        <f t="shared" si="5"/>
        <v>0</v>
      </c>
    </row>
    <row r="191" spans="1:27">
      <c r="A191" s="238">
        <v>7034</v>
      </c>
      <c r="B191" s="168">
        <v>103614</v>
      </c>
      <c r="C191" s="168" t="s">
        <v>657</v>
      </c>
      <c r="D191" s="168" t="s">
        <v>447</v>
      </c>
      <c r="E191" s="625" t="s">
        <v>541</v>
      </c>
      <c r="F191" s="625" t="s">
        <v>537</v>
      </c>
      <c r="G191" s="626" t="s">
        <v>1017</v>
      </c>
      <c r="I191" s="627">
        <v>440479.65000000084</v>
      </c>
      <c r="J191" s="627">
        <v>12376.739999999998</v>
      </c>
      <c r="K191" s="627">
        <f t="shared" si="6"/>
        <v>452856.39000000083</v>
      </c>
      <c r="M191" s="627"/>
      <c r="O191" s="627">
        <v>0</v>
      </c>
      <c r="P191" s="627">
        <v>0</v>
      </c>
      <c r="Q191" s="627">
        <v>0</v>
      </c>
      <c r="R191" s="627">
        <v>0</v>
      </c>
      <c r="S191" s="627"/>
      <c r="T191" s="627"/>
      <c r="U191" s="627"/>
      <c r="V191" s="627"/>
      <c r="W191" s="627"/>
      <c r="X191" s="627"/>
      <c r="Y191" s="627"/>
      <c r="Z191" s="627"/>
      <c r="AA191" s="627">
        <f t="shared" si="5"/>
        <v>0</v>
      </c>
    </row>
    <row r="192" spans="1:27">
      <c r="A192" s="238">
        <v>2157</v>
      </c>
      <c r="B192" s="168">
        <v>103246</v>
      </c>
      <c r="C192" s="168" t="s">
        <v>658</v>
      </c>
      <c r="D192" s="168" t="s">
        <v>448</v>
      </c>
      <c r="E192" s="625" t="s">
        <v>539</v>
      </c>
      <c r="F192" s="625" t="s">
        <v>537</v>
      </c>
      <c r="G192" s="626" t="s">
        <v>1017</v>
      </c>
      <c r="I192" s="627">
        <v>-404556.43000000017</v>
      </c>
      <c r="J192" s="627">
        <v>8713.75</v>
      </c>
      <c r="K192" s="627">
        <f t="shared" si="6"/>
        <v>-395842.68000000017</v>
      </c>
      <c r="M192" s="627"/>
      <c r="O192" s="627">
        <v>0</v>
      </c>
      <c r="P192" s="627">
        <v>0</v>
      </c>
      <c r="Q192" s="627">
        <v>0</v>
      </c>
      <c r="R192" s="627">
        <v>0</v>
      </c>
      <c r="S192" s="627"/>
      <c r="T192" s="627"/>
      <c r="U192" s="627"/>
      <c r="V192" s="627"/>
      <c r="W192" s="627"/>
      <c r="X192" s="627"/>
      <c r="Y192" s="627"/>
      <c r="Z192" s="627"/>
      <c r="AA192" s="627">
        <f t="shared" si="5"/>
        <v>0</v>
      </c>
    </row>
    <row r="193" spans="1:27">
      <c r="A193" s="238">
        <v>1000</v>
      </c>
      <c r="B193" s="168">
        <v>137796</v>
      </c>
      <c r="C193" s="168" t="s">
        <v>662</v>
      </c>
      <c r="D193" s="168" t="s">
        <v>452</v>
      </c>
      <c r="E193" s="625" t="s">
        <v>536</v>
      </c>
      <c r="F193" s="625" t="s">
        <v>537</v>
      </c>
      <c r="G193" s="626" t="s">
        <v>1016</v>
      </c>
      <c r="I193" s="627">
        <v>47207.109999999811</v>
      </c>
      <c r="J193" s="627">
        <v>10140.75</v>
      </c>
      <c r="K193" s="627">
        <f t="shared" si="6"/>
        <v>57347.859999999811</v>
      </c>
      <c r="M193" s="627"/>
      <c r="O193" s="627">
        <v>0</v>
      </c>
      <c r="P193" s="627">
        <v>0</v>
      </c>
      <c r="Q193" s="627">
        <v>0</v>
      </c>
      <c r="R193" s="627">
        <v>0</v>
      </c>
      <c r="S193" s="627"/>
      <c r="T193" s="627"/>
      <c r="U193" s="627"/>
      <c r="V193" s="627"/>
      <c r="W193" s="627"/>
      <c r="X193" s="627"/>
      <c r="Y193" s="627"/>
      <c r="Z193" s="627"/>
      <c r="AA193" s="627">
        <f t="shared" si="5"/>
        <v>0</v>
      </c>
    </row>
    <row r="194" spans="1:27">
      <c r="A194" s="238">
        <v>3329</v>
      </c>
      <c r="B194" s="168">
        <v>103431</v>
      </c>
      <c r="C194" s="168" t="s">
        <v>666</v>
      </c>
      <c r="D194" s="168" t="s">
        <v>456</v>
      </c>
      <c r="E194" s="625" t="s">
        <v>539</v>
      </c>
      <c r="F194" s="625" t="s">
        <v>800</v>
      </c>
      <c r="G194" s="626" t="s">
        <v>1000</v>
      </c>
      <c r="I194" s="627">
        <v>66913.609999999491</v>
      </c>
      <c r="J194" s="627">
        <v>0</v>
      </c>
      <c r="K194" s="627">
        <f t="shared" si="6"/>
        <v>66913.609999999491</v>
      </c>
      <c r="M194" s="627"/>
      <c r="O194" s="627">
        <v>0</v>
      </c>
      <c r="P194" s="627">
        <v>0</v>
      </c>
      <c r="Q194" s="627">
        <v>0</v>
      </c>
      <c r="R194" s="627">
        <v>0</v>
      </c>
      <c r="S194" s="627"/>
      <c r="T194" s="627"/>
      <c r="U194" s="627"/>
      <c r="V194" s="627"/>
      <c r="W194" s="627"/>
      <c r="X194" s="627"/>
      <c r="Y194" s="627"/>
      <c r="Z194" s="627"/>
      <c r="AA194" s="627">
        <f t="shared" si="5"/>
        <v>0</v>
      </c>
    </row>
    <row r="195" spans="1:27">
      <c r="A195" s="238">
        <v>3406</v>
      </c>
      <c r="B195" s="168">
        <v>103476</v>
      </c>
      <c r="C195" s="168" t="s">
        <v>669</v>
      </c>
      <c r="D195" s="168" t="s">
        <v>459</v>
      </c>
      <c r="E195" s="625" t="s">
        <v>539</v>
      </c>
      <c r="F195" s="625" t="s">
        <v>800</v>
      </c>
      <c r="G195" s="626" t="s">
        <v>1000</v>
      </c>
      <c r="I195" s="627">
        <v>270476.17000000202</v>
      </c>
      <c r="J195" s="627">
        <v>0</v>
      </c>
      <c r="K195" s="627">
        <f t="shared" si="6"/>
        <v>270476.17000000202</v>
      </c>
      <c r="M195" s="627"/>
      <c r="O195" s="627">
        <v>0</v>
      </c>
      <c r="P195" s="627">
        <v>0</v>
      </c>
      <c r="Q195" s="627">
        <v>0</v>
      </c>
      <c r="R195" s="627">
        <v>0</v>
      </c>
      <c r="S195" s="627"/>
      <c r="T195" s="627"/>
      <c r="U195" s="627"/>
      <c r="V195" s="627"/>
      <c r="W195" s="627"/>
      <c r="X195" s="627"/>
      <c r="Y195" s="627"/>
      <c r="Z195" s="627"/>
      <c r="AA195" s="627">
        <f t="shared" si="5"/>
        <v>0</v>
      </c>
    </row>
    <row r="196" spans="1:27">
      <c r="A196" s="238">
        <v>3342</v>
      </c>
      <c r="B196" s="168">
        <v>103437</v>
      </c>
      <c r="C196" s="168" t="s">
        <v>671</v>
      </c>
      <c r="D196" s="168" t="s">
        <v>461</v>
      </c>
      <c r="E196" s="625" t="s">
        <v>539</v>
      </c>
      <c r="F196" s="625" t="s">
        <v>800</v>
      </c>
      <c r="G196" s="626" t="s">
        <v>1000</v>
      </c>
      <c r="I196" s="627">
        <v>521227.93000000052</v>
      </c>
      <c r="J196" s="627">
        <v>0</v>
      </c>
      <c r="K196" s="627">
        <f t="shared" si="6"/>
        <v>521227.93000000052</v>
      </c>
      <c r="M196" s="627"/>
      <c r="O196" s="627">
        <v>0</v>
      </c>
      <c r="P196" s="627">
        <v>0</v>
      </c>
      <c r="Q196" s="627">
        <v>0</v>
      </c>
      <c r="R196" s="627">
        <v>0</v>
      </c>
      <c r="S196" s="627"/>
      <c r="T196" s="627"/>
      <c r="U196" s="627"/>
      <c r="V196" s="627"/>
      <c r="W196" s="627"/>
      <c r="X196" s="627"/>
      <c r="Y196" s="627"/>
      <c r="Z196" s="627"/>
      <c r="AA196" s="627">
        <f t="shared" si="5"/>
        <v>0</v>
      </c>
    </row>
    <row r="197" spans="1:27">
      <c r="A197" s="238">
        <v>3382</v>
      </c>
      <c r="B197" s="168">
        <v>103467</v>
      </c>
      <c r="C197" s="168" t="s">
        <v>675</v>
      </c>
      <c r="D197" s="168" t="s">
        <v>465</v>
      </c>
      <c r="E197" s="625" t="s">
        <v>539</v>
      </c>
      <c r="F197" s="625" t="s">
        <v>537</v>
      </c>
      <c r="G197" s="626" t="s">
        <v>1016</v>
      </c>
      <c r="I197" s="627">
        <v>40897.279999999417</v>
      </c>
      <c r="J197" s="627">
        <v>0</v>
      </c>
      <c r="K197" s="627">
        <f t="shared" si="6"/>
        <v>40897.279999999417</v>
      </c>
      <c r="M197" s="627"/>
      <c r="O197" s="627">
        <v>0</v>
      </c>
      <c r="P197" s="627">
        <v>0</v>
      </c>
      <c r="Q197" s="627">
        <v>0</v>
      </c>
      <c r="R197" s="627">
        <v>0</v>
      </c>
      <c r="S197" s="627"/>
      <c r="T197" s="627"/>
      <c r="U197" s="627"/>
      <c r="V197" s="627"/>
      <c r="W197" s="627"/>
      <c r="X197" s="627"/>
      <c r="Y197" s="627"/>
      <c r="Z197" s="627"/>
      <c r="AA197" s="627">
        <f t="shared" si="5"/>
        <v>0</v>
      </c>
    </row>
    <row r="198" spans="1:27">
      <c r="A198" s="238">
        <v>3346</v>
      </c>
      <c r="B198" s="168">
        <v>103439</v>
      </c>
      <c r="C198" s="168" t="s">
        <v>677</v>
      </c>
      <c r="D198" s="168" t="s">
        <v>467</v>
      </c>
      <c r="E198" s="625" t="s">
        <v>539</v>
      </c>
      <c r="F198" s="625" t="s">
        <v>537</v>
      </c>
      <c r="G198" s="626" t="s">
        <v>1017</v>
      </c>
      <c r="I198" s="627">
        <v>-714428.92443226802</v>
      </c>
      <c r="J198" s="627">
        <v>0</v>
      </c>
      <c r="K198" s="627">
        <f t="shared" si="6"/>
        <v>-714428.92443226802</v>
      </c>
      <c r="M198" s="627"/>
      <c r="O198" s="627">
        <v>0</v>
      </c>
      <c r="P198" s="627">
        <v>0</v>
      </c>
      <c r="Q198" s="627">
        <v>0</v>
      </c>
      <c r="R198" s="627">
        <v>0</v>
      </c>
      <c r="S198" s="627"/>
      <c r="T198" s="627"/>
      <c r="U198" s="627"/>
      <c r="V198" s="627"/>
      <c r="W198" s="627"/>
      <c r="X198" s="627"/>
      <c r="Y198" s="627"/>
      <c r="Z198" s="627"/>
      <c r="AA198" s="627">
        <f t="shared" ref="AA198:AA204" si="7">(-M198)+SUM(O198:Z198)</f>
        <v>0</v>
      </c>
    </row>
    <row r="199" spans="1:27">
      <c r="A199" s="238">
        <v>3365</v>
      </c>
      <c r="B199" s="168">
        <v>103456</v>
      </c>
      <c r="C199" s="168" t="s">
        <v>678</v>
      </c>
      <c r="D199" s="168" t="s">
        <v>468</v>
      </c>
      <c r="E199" s="625" t="s">
        <v>539</v>
      </c>
      <c r="F199" s="625" t="s">
        <v>800</v>
      </c>
      <c r="G199" s="626" t="s">
        <v>1000</v>
      </c>
      <c r="I199" s="627">
        <v>8204.4899999999907</v>
      </c>
      <c r="J199" s="627">
        <v>0</v>
      </c>
      <c r="K199" s="627">
        <f t="shared" si="6"/>
        <v>8204.4899999999907</v>
      </c>
      <c r="M199" s="627"/>
      <c r="O199" s="627">
        <v>0</v>
      </c>
      <c r="P199" s="627">
        <v>0</v>
      </c>
      <c r="Q199" s="627">
        <v>0</v>
      </c>
      <c r="R199" s="627">
        <v>0</v>
      </c>
      <c r="S199" s="627"/>
      <c r="T199" s="627"/>
      <c r="U199" s="627"/>
      <c r="V199" s="627"/>
      <c r="W199" s="627"/>
      <c r="X199" s="627"/>
      <c r="Y199" s="627"/>
      <c r="Z199" s="627"/>
      <c r="AA199" s="627">
        <f t="shared" si="7"/>
        <v>0</v>
      </c>
    </row>
    <row r="200" spans="1:27">
      <c r="A200" s="238">
        <v>1009</v>
      </c>
      <c r="B200" s="168">
        <v>103124</v>
      </c>
      <c r="C200" s="168" t="s">
        <v>679</v>
      </c>
      <c r="D200" s="168" t="s">
        <v>469</v>
      </c>
      <c r="E200" s="625" t="s">
        <v>536</v>
      </c>
      <c r="F200" s="625" t="s">
        <v>537</v>
      </c>
      <c r="G200" s="626" t="s">
        <v>1016</v>
      </c>
      <c r="I200" s="627">
        <v>-1348493.9999999998</v>
      </c>
      <c r="J200" s="627">
        <v>50214.05</v>
      </c>
      <c r="K200" s="627">
        <f t="shared" si="6"/>
        <v>-1298279.9499999997</v>
      </c>
      <c r="M200" s="627">
        <f>K200</f>
        <v>-1298279.9499999997</v>
      </c>
      <c r="O200" s="627">
        <v>0</v>
      </c>
      <c r="P200" s="628">
        <v>299542.21308482258</v>
      </c>
      <c r="Q200" s="627">
        <v>0</v>
      </c>
      <c r="R200" s="627">
        <v>0</v>
      </c>
      <c r="S200" s="627"/>
      <c r="T200" s="627"/>
      <c r="U200" s="627"/>
      <c r="V200" s="627"/>
      <c r="W200" s="627"/>
      <c r="X200" s="627"/>
      <c r="Y200" s="627"/>
      <c r="Z200" s="627"/>
      <c r="AA200" s="627">
        <f t="shared" si="7"/>
        <v>1597822.1630848222</v>
      </c>
    </row>
    <row r="201" spans="1:27">
      <c r="A201" s="238">
        <v>3310</v>
      </c>
      <c r="B201" s="168">
        <v>103417</v>
      </c>
      <c r="C201" s="168" t="s">
        <v>680</v>
      </c>
      <c r="D201" s="168" t="s">
        <v>470</v>
      </c>
      <c r="E201" s="625" t="s">
        <v>539</v>
      </c>
      <c r="F201" s="625" t="s">
        <v>800</v>
      </c>
      <c r="G201" s="626" t="s">
        <v>1000</v>
      </c>
      <c r="I201" s="627">
        <v>-38202.860000000044</v>
      </c>
      <c r="J201" s="627">
        <v>0</v>
      </c>
      <c r="K201" s="627">
        <f t="shared" si="6"/>
        <v>-38202.860000000044</v>
      </c>
      <c r="M201" s="627"/>
      <c r="O201" s="627">
        <v>0</v>
      </c>
      <c r="P201" s="627">
        <v>0</v>
      </c>
      <c r="Q201" s="627">
        <v>0</v>
      </c>
      <c r="R201" s="627">
        <v>0</v>
      </c>
      <c r="S201" s="627"/>
      <c r="T201" s="627"/>
      <c r="U201" s="627"/>
      <c r="V201" s="627"/>
      <c r="W201" s="627"/>
      <c r="X201" s="627"/>
      <c r="Y201" s="627"/>
      <c r="Z201" s="627"/>
      <c r="AA201" s="627">
        <f t="shared" si="7"/>
        <v>0</v>
      </c>
    </row>
    <row r="202" spans="1:27">
      <c r="A202" s="238">
        <v>2246</v>
      </c>
      <c r="B202" s="168">
        <v>103296</v>
      </c>
      <c r="C202" s="168" t="s">
        <v>681</v>
      </c>
      <c r="D202" s="168" t="s">
        <v>471</v>
      </c>
      <c r="E202" s="625" t="s">
        <v>539</v>
      </c>
      <c r="F202" s="625" t="s">
        <v>1000</v>
      </c>
      <c r="G202" s="626" t="s">
        <v>1000</v>
      </c>
      <c r="I202" s="627">
        <v>314045</v>
      </c>
      <c r="J202" s="627">
        <v>15601</v>
      </c>
      <c r="K202" s="627">
        <f t="shared" si="6"/>
        <v>329646</v>
      </c>
      <c r="M202" s="627"/>
      <c r="O202" s="627">
        <v>0</v>
      </c>
      <c r="P202" s="627">
        <v>0</v>
      </c>
      <c r="Q202" s="627">
        <v>0</v>
      </c>
      <c r="R202" s="627">
        <v>0</v>
      </c>
      <c r="S202" s="627"/>
      <c r="T202" s="627"/>
      <c r="U202" s="627"/>
      <c r="V202" s="627"/>
      <c r="W202" s="627"/>
      <c r="X202" s="627"/>
      <c r="Y202" s="627"/>
      <c r="Z202" s="627"/>
      <c r="AA202" s="627">
        <f t="shared" si="7"/>
        <v>0</v>
      </c>
    </row>
    <row r="203" spans="1:27">
      <c r="A203" s="238">
        <v>1020</v>
      </c>
      <c r="B203" s="168">
        <v>103133</v>
      </c>
      <c r="C203" s="168" t="s">
        <v>684</v>
      </c>
      <c r="D203" s="168" t="s">
        <v>474</v>
      </c>
      <c r="E203" s="625" t="s">
        <v>536</v>
      </c>
      <c r="F203" s="625" t="s">
        <v>537</v>
      </c>
      <c r="G203" s="626" t="s">
        <v>1017</v>
      </c>
      <c r="I203" s="627">
        <v>-213139.79000000103</v>
      </c>
      <c r="J203" s="627">
        <v>51725.5</v>
      </c>
      <c r="K203" s="627">
        <f t="shared" si="6"/>
        <v>-161414.29000000103</v>
      </c>
      <c r="M203" s="627"/>
      <c r="O203" s="627">
        <v>0</v>
      </c>
      <c r="P203" s="627">
        <v>0</v>
      </c>
      <c r="Q203" s="627">
        <v>0</v>
      </c>
      <c r="R203" s="627">
        <v>0</v>
      </c>
      <c r="S203" s="627"/>
      <c r="T203" s="627"/>
      <c r="U203" s="627"/>
      <c r="V203" s="627"/>
      <c r="W203" s="627"/>
      <c r="X203" s="627"/>
      <c r="Y203" s="627"/>
      <c r="Z203" s="627"/>
      <c r="AA203" s="627">
        <f t="shared" si="7"/>
        <v>0</v>
      </c>
    </row>
    <row r="204" spans="1:27">
      <c r="A204" s="238">
        <v>2019</v>
      </c>
      <c r="B204" s="168">
        <v>134279</v>
      </c>
      <c r="C204" s="168" t="s">
        <v>686</v>
      </c>
      <c r="D204" s="168" t="s">
        <v>476</v>
      </c>
      <c r="E204" s="625" t="s">
        <v>539</v>
      </c>
      <c r="F204" s="625" t="s">
        <v>537</v>
      </c>
      <c r="G204" s="626" t="s">
        <v>1017</v>
      </c>
      <c r="I204" s="627">
        <v>123178.30999999872</v>
      </c>
      <c r="J204" s="627">
        <v>30887.72</v>
      </c>
      <c r="K204" s="627">
        <f t="shared" si="6"/>
        <v>154066.02999999872</v>
      </c>
      <c r="M204" s="627"/>
      <c r="O204" s="627">
        <v>0</v>
      </c>
      <c r="P204" s="627">
        <v>0</v>
      </c>
      <c r="Q204" s="627">
        <v>0</v>
      </c>
      <c r="R204" s="627">
        <v>0</v>
      </c>
      <c r="S204" s="627"/>
      <c r="T204" s="627"/>
      <c r="U204" s="627"/>
      <c r="V204" s="627"/>
      <c r="W204" s="627"/>
      <c r="X204" s="627"/>
      <c r="Y204" s="627"/>
      <c r="Z204" s="627"/>
      <c r="AA204" s="627">
        <f t="shared" si="7"/>
        <v>0</v>
      </c>
    </row>
    <row r="205" spans="1:27" ht="15" thickBot="1">
      <c r="A205" s="629"/>
      <c r="B205" s="630"/>
      <c r="C205" s="630"/>
      <c r="D205" s="631"/>
      <c r="E205" s="632"/>
      <c r="F205" s="633"/>
      <c r="G205" s="634"/>
      <c r="I205" s="627">
        <v>0</v>
      </c>
      <c r="J205" s="627">
        <v>0</v>
      </c>
      <c r="K205" s="627">
        <f t="shared" si="6"/>
        <v>0</v>
      </c>
      <c r="M205" s="627"/>
      <c r="O205" s="627">
        <v>0</v>
      </c>
      <c r="P205" s="627">
        <v>0</v>
      </c>
      <c r="Q205" s="627">
        <v>0</v>
      </c>
      <c r="R205" s="627">
        <v>0</v>
      </c>
      <c r="S205" s="627"/>
      <c r="T205" s="627"/>
      <c r="U205" s="627"/>
      <c r="V205" s="627"/>
      <c r="W205" s="627"/>
      <c r="X205" s="627"/>
      <c r="Y205" s="627"/>
      <c r="Z205" s="627"/>
      <c r="AA205" s="627"/>
    </row>
    <row r="207" spans="1:27">
      <c r="I207" s="307">
        <f>SUM(I5:I206)</f>
        <v>60140209.890045092</v>
      </c>
      <c r="J207" s="307">
        <f t="shared" ref="J207:AA207" si="8">SUM(J5:J206)</f>
        <v>4375814.7300000004</v>
      </c>
      <c r="K207" s="307">
        <f t="shared" si="8"/>
        <v>64516024.620045118</v>
      </c>
      <c r="M207" s="635">
        <f t="shared" si="8"/>
        <v>-1774779.3099999996</v>
      </c>
      <c r="O207" s="635">
        <f t="shared" si="8"/>
        <v>40000</v>
      </c>
      <c r="P207" s="635">
        <f t="shared" si="8"/>
        <v>519521.52366173855</v>
      </c>
      <c r="Q207" s="635">
        <f t="shared" si="8"/>
        <v>1127405.28</v>
      </c>
      <c r="R207" s="635">
        <f t="shared" si="8"/>
        <v>335192</v>
      </c>
      <c r="S207" s="635">
        <f t="shared" si="8"/>
        <v>0</v>
      </c>
      <c r="T207" s="635">
        <f t="shared" si="8"/>
        <v>0</v>
      </c>
      <c r="U207" s="635">
        <f t="shared" si="8"/>
        <v>100000</v>
      </c>
      <c r="V207" s="635">
        <f t="shared" si="8"/>
        <v>0</v>
      </c>
      <c r="W207" s="635">
        <f t="shared" si="8"/>
        <v>0</v>
      </c>
      <c r="X207" s="635">
        <f t="shared" si="8"/>
        <v>0</v>
      </c>
      <c r="Y207" s="635">
        <f t="shared" si="8"/>
        <v>0</v>
      </c>
      <c r="Z207" s="635">
        <f t="shared" si="8"/>
        <v>0</v>
      </c>
      <c r="AA207" s="635">
        <f t="shared" si="8"/>
        <v>3896898.1136617381</v>
      </c>
    </row>
    <row r="209" spans="26:27">
      <c r="Z209" s="636" t="s">
        <v>1019</v>
      </c>
      <c r="AA209" s="126">
        <v>3.6617377772927284E-3</v>
      </c>
    </row>
  </sheetData>
  <autoFilter ref="A4:AA204" xr:uid="{CD067C11-F7C1-47EC-823D-82310A4F0FE2}"/>
  <conditionalFormatting sqref="M3:M4 AA3:AA4 A4:G4 I4:K4 O4:Z4 A5:E5 E6:E205">
    <cfRule type="cellIs" dxfId="2" priority="1" operator="lessThan">
      <formula>0</formula>
    </cfRule>
  </conditionalFormatting>
  <hyperlinks>
    <hyperlink ref="O2" r:id="rId1" xr:uid="{0F3A094D-563C-40D8-B5E2-DAB9C4B2D0B0}"/>
    <hyperlink ref="P2" r:id="rId2" xr:uid="{0FBC8D76-1781-4514-BC55-1024B176705D}"/>
    <hyperlink ref="Q2" r:id="rId3" xr:uid="{56BF5569-4EDF-43CD-BB76-8B3EC921E8DB}"/>
    <hyperlink ref="R2" r:id="rId4" xr:uid="{91AB9880-3688-4BDC-BDC3-69776B6DF90C}"/>
  </hyperlinks>
  <pageMargins left="0.7" right="0.7" top="0.75" bottom="0.75" header="0.3" footer="0.3"/>
  <pageSetup paperSize="9" orientation="portrait" r:id="rId5"/>
  <headerFooter>
    <oddFooter>&amp;C_x000D_&amp;1#&amp;"Calibri"&amp;10&amp;K000000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F8425-FA3B-43F2-A76B-FC4C713A4870}">
  <sheetPr codeName="Sheet16"/>
  <dimension ref="A1:AI30"/>
  <sheetViews>
    <sheetView zoomScaleNormal="100" workbookViewId="0">
      <selection activeCell="D14" sqref="D14"/>
    </sheetView>
  </sheetViews>
  <sheetFormatPr defaultColWidth="8.81640625" defaultRowHeight="14.5"/>
  <cols>
    <col min="1" max="1" width="21.1796875" customWidth="1"/>
    <col min="2" max="2" width="74.7265625" customWidth="1"/>
    <col min="3" max="3" width="1.1796875" customWidth="1"/>
    <col min="4" max="4" width="12.26953125" customWidth="1"/>
    <col min="5" max="5" width="13" customWidth="1"/>
    <col min="24" max="24" width="1.1796875" customWidth="1"/>
    <col min="25" max="26" width="13.7265625" customWidth="1"/>
    <col min="27" max="27" width="14.81640625" customWidth="1"/>
    <col min="28" max="29" width="13.7265625" customWidth="1"/>
    <col min="30" max="30" width="1.1796875" customWidth="1"/>
    <col min="31" max="32" width="13.7265625" customWidth="1"/>
    <col min="33" max="33" width="14.7265625" customWidth="1"/>
    <col min="34" max="35" width="13.7265625" customWidth="1"/>
  </cols>
  <sheetData>
    <row r="1" spans="1:35">
      <c r="A1" s="367" t="s">
        <v>830</v>
      </c>
      <c r="B1" s="368"/>
    </row>
    <row r="2" spans="1:35" s="122" customFormat="1">
      <c r="A2" s="369"/>
      <c r="B2" s="370"/>
      <c r="D2" s="756" t="s">
        <v>213</v>
      </c>
      <c r="E2" s="756"/>
      <c r="F2" s="371"/>
      <c r="G2" s="371"/>
      <c r="H2" s="371"/>
    </row>
    <row r="3" spans="1:35" s="122" customFormat="1">
      <c r="A3" s="372" t="s">
        <v>212</v>
      </c>
      <c r="B3" s="373" t="str">
        <f>'2. CFR Return'!E4</f>
        <v>0000</v>
      </c>
      <c r="D3" s="756" t="str">
        <f>'2. CFR Return'!E5</f>
        <v>Quarter 3</v>
      </c>
      <c r="E3" s="756"/>
      <c r="F3" s="374" t="s">
        <v>2</v>
      </c>
      <c r="G3" s="375"/>
      <c r="H3" s="375"/>
    </row>
    <row r="4" spans="1:35" s="122" customFormat="1">
      <c r="A4" s="372" t="s">
        <v>214</v>
      </c>
      <c r="B4" s="372" t="str">
        <f>'2. CFR Return'!E3</f>
        <v xml:space="preserve">SELECT SCHOOL HERE </v>
      </c>
    </row>
    <row r="5" spans="1:35" s="122" customFormat="1">
      <c r="A5" s="371"/>
      <c r="B5" s="371"/>
      <c r="C5" s="376"/>
      <c r="D5" s="376"/>
      <c r="E5" s="376"/>
      <c r="F5" s="376"/>
    </row>
    <row r="6" spans="1:35" s="122" customFormat="1">
      <c r="A6" s="757" t="s">
        <v>831</v>
      </c>
      <c r="B6" s="758"/>
      <c r="C6" s="376"/>
      <c r="D6" s="376"/>
      <c r="E6" s="376"/>
      <c r="F6" s="376"/>
    </row>
    <row r="7" spans="1:35" ht="15" thickBot="1">
      <c r="A7" s="377"/>
      <c r="B7" s="377"/>
    </row>
    <row r="8" spans="1:35" s="371" customFormat="1" ht="13.5" thickBot="1">
      <c r="A8" s="759" t="s">
        <v>832</v>
      </c>
      <c r="B8" s="760"/>
      <c r="C8" s="378"/>
      <c r="D8" s="759" t="s">
        <v>833</v>
      </c>
      <c r="E8" s="761"/>
      <c r="F8" s="761"/>
      <c r="G8" s="761"/>
      <c r="H8" s="761"/>
      <c r="I8" s="761"/>
      <c r="J8" s="761"/>
      <c r="K8" s="761"/>
      <c r="L8" s="761"/>
      <c r="M8" s="761"/>
      <c r="N8" s="761"/>
      <c r="O8" s="761"/>
      <c r="P8" s="761"/>
      <c r="Q8" s="761"/>
      <c r="R8" s="761"/>
      <c r="S8" s="761"/>
      <c r="T8" s="761"/>
      <c r="U8" s="761"/>
      <c r="V8" s="761"/>
      <c r="W8" s="761"/>
      <c r="X8" s="378"/>
      <c r="Y8" s="744" t="s">
        <v>834</v>
      </c>
      <c r="Z8" s="744"/>
      <c r="AA8" s="744"/>
      <c r="AB8" s="744"/>
      <c r="AC8" s="745"/>
      <c r="AD8" s="378"/>
      <c r="AE8" s="744" t="s">
        <v>835</v>
      </c>
      <c r="AF8" s="744"/>
      <c r="AG8" s="744"/>
      <c r="AH8" s="744"/>
      <c r="AI8" s="745"/>
    </row>
    <row r="9" spans="1:35" s="377" customFormat="1" ht="13" thickBot="1">
      <c r="C9" s="379"/>
      <c r="X9" s="379"/>
      <c r="Y9" s="380"/>
      <c r="Z9" s="380"/>
      <c r="AA9" s="380"/>
      <c r="AB9" s="380"/>
      <c r="AC9" s="380"/>
      <c r="AD9" s="379"/>
      <c r="AE9" s="380"/>
      <c r="AF9" s="380"/>
      <c r="AG9" s="380"/>
      <c r="AH9" s="380"/>
      <c r="AI9" s="380"/>
    </row>
    <row r="10" spans="1:35" s="384" customFormat="1" ht="15" customHeight="1">
      <c r="A10" s="746" t="s">
        <v>228</v>
      </c>
      <c r="B10" s="748" t="s">
        <v>214</v>
      </c>
      <c r="C10" s="383"/>
      <c r="D10" s="750" t="s">
        <v>836</v>
      </c>
      <c r="E10" s="751"/>
      <c r="F10" s="751"/>
      <c r="G10" s="751"/>
      <c r="H10" s="751"/>
      <c r="I10" s="751"/>
      <c r="J10" s="751"/>
      <c r="K10" s="751"/>
      <c r="L10" s="751"/>
      <c r="M10" s="752"/>
      <c r="N10" s="750" t="s">
        <v>837</v>
      </c>
      <c r="O10" s="751"/>
      <c r="P10" s="751"/>
      <c r="Q10" s="751"/>
      <c r="R10" s="751"/>
      <c r="S10" s="751"/>
      <c r="T10" s="751"/>
      <c r="U10" s="751"/>
      <c r="V10" s="751"/>
      <c r="W10" s="751"/>
      <c r="X10" s="383"/>
      <c r="Y10" s="741" t="s">
        <v>838</v>
      </c>
      <c r="Z10" s="738" t="s">
        <v>839</v>
      </c>
      <c r="AA10" s="738" t="s">
        <v>840</v>
      </c>
      <c r="AB10" s="738" t="s">
        <v>841</v>
      </c>
      <c r="AC10" s="738" t="s">
        <v>842</v>
      </c>
      <c r="AD10" s="383"/>
      <c r="AE10" s="741" t="s">
        <v>838</v>
      </c>
      <c r="AF10" s="738" t="s">
        <v>839</v>
      </c>
      <c r="AG10" s="738" t="s">
        <v>840</v>
      </c>
      <c r="AH10" s="738" t="s">
        <v>841</v>
      </c>
      <c r="AI10" s="738" t="s">
        <v>842</v>
      </c>
    </row>
    <row r="11" spans="1:35" s="384" customFormat="1" ht="13.5" thickBot="1">
      <c r="A11" s="747"/>
      <c r="B11" s="749"/>
      <c r="C11" s="383"/>
      <c r="D11" s="753"/>
      <c r="E11" s="754"/>
      <c r="F11" s="754"/>
      <c r="G11" s="754"/>
      <c r="H11" s="754"/>
      <c r="I11" s="754"/>
      <c r="J11" s="754"/>
      <c r="K11" s="754"/>
      <c r="L11" s="754"/>
      <c r="M11" s="755"/>
      <c r="N11" s="753"/>
      <c r="O11" s="754"/>
      <c r="P11" s="754"/>
      <c r="Q11" s="754"/>
      <c r="R11" s="754"/>
      <c r="S11" s="754"/>
      <c r="T11" s="754"/>
      <c r="U11" s="754"/>
      <c r="V11" s="754"/>
      <c r="W11" s="754"/>
      <c r="X11" s="383"/>
      <c r="Y11" s="742"/>
      <c r="Z11" s="739"/>
      <c r="AA11" s="739"/>
      <c r="AB11" s="739"/>
      <c r="AC11" s="739"/>
      <c r="AD11" s="383"/>
      <c r="AE11" s="742"/>
      <c r="AF11" s="739"/>
      <c r="AG11" s="739"/>
      <c r="AH11" s="739"/>
      <c r="AI11" s="739"/>
    </row>
    <row r="12" spans="1:35" s="384" customFormat="1" ht="39.5" thickBot="1">
      <c r="A12" s="385"/>
      <c r="B12" s="386"/>
      <c r="C12" s="383"/>
      <c r="D12" s="388" t="s">
        <v>843</v>
      </c>
      <c r="E12" s="388" t="s">
        <v>844</v>
      </c>
      <c r="F12" s="389" t="s">
        <v>845</v>
      </c>
      <c r="G12" s="389" t="s">
        <v>846</v>
      </c>
      <c r="H12" s="389" t="s">
        <v>847</v>
      </c>
      <c r="I12" s="389" t="s">
        <v>848</v>
      </c>
      <c r="J12" s="389" t="s">
        <v>849</v>
      </c>
      <c r="K12" s="389" t="s">
        <v>850</v>
      </c>
      <c r="L12" s="389" t="s">
        <v>851</v>
      </c>
      <c r="M12" s="389" t="s">
        <v>852</v>
      </c>
      <c r="N12" s="388" t="s">
        <v>843</v>
      </c>
      <c r="O12" s="388" t="s">
        <v>844</v>
      </c>
      <c r="P12" s="389" t="s">
        <v>845</v>
      </c>
      <c r="Q12" s="389" t="s">
        <v>846</v>
      </c>
      <c r="R12" s="389" t="s">
        <v>847</v>
      </c>
      <c r="S12" s="389" t="s">
        <v>848</v>
      </c>
      <c r="T12" s="389" t="s">
        <v>849</v>
      </c>
      <c r="U12" s="389" t="s">
        <v>850</v>
      </c>
      <c r="V12" s="389" t="s">
        <v>851</v>
      </c>
      <c r="W12" s="389" t="s">
        <v>852</v>
      </c>
      <c r="X12" s="383"/>
      <c r="Y12" s="743"/>
      <c r="Z12" s="740"/>
      <c r="AA12" s="740"/>
      <c r="AB12" s="740"/>
      <c r="AC12" s="740"/>
      <c r="AD12" s="383"/>
      <c r="AE12" s="743"/>
      <c r="AF12" s="740"/>
      <c r="AG12" s="740"/>
      <c r="AH12" s="740"/>
      <c r="AI12" s="740"/>
    </row>
    <row r="13" spans="1:35" s="384" customFormat="1" ht="13.5" thickBot="1">
      <c r="A13" s="390"/>
      <c r="B13" s="391"/>
      <c r="C13" s="383"/>
      <c r="D13" s="381"/>
      <c r="E13" s="392"/>
      <c r="F13" s="392"/>
      <c r="G13" s="392"/>
      <c r="H13" s="392"/>
      <c r="I13" s="392"/>
      <c r="J13" s="392"/>
      <c r="K13" s="392"/>
      <c r="L13" s="392"/>
      <c r="M13" s="382"/>
      <c r="N13" s="381"/>
      <c r="O13" s="392"/>
      <c r="P13" s="392"/>
      <c r="Q13" s="392"/>
      <c r="R13" s="392"/>
      <c r="S13" s="392"/>
      <c r="T13" s="392"/>
      <c r="U13" s="392"/>
      <c r="V13" s="392"/>
      <c r="W13" s="393"/>
      <c r="X13" s="383"/>
      <c r="Y13" s="394" t="s">
        <v>853</v>
      </c>
      <c r="Z13" s="394" t="s">
        <v>853</v>
      </c>
      <c r="AA13" s="394" t="s">
        <v>853</v>
      </c>
      <c r="AB13" s="394" t="s">
        <v>853</v>
      </c>
      <c r="AC13" s="387" t="s">
        <v>853</v>
      </c>
      <c r="AD13" s="383"/>
      <c r="AE13" s="394" t="s">
        <v>853</v>
      </c>
      <c r="AF13" s="394" t="s">
        <v>853</v>
      </c>
      <c r="AG13" s="394" t="s">
        <v>853</v>
      </c>
      <c r="AH13" s="394" t="s">
        <v>853</v>
      </c>
      <c r="AI13" s="387" t="s">
        <v>853</v>
      </c>
    </row>
    <row r="14" spans="1:35" s="377" customFormat="1" ht="13" thickBot="1">
      <c r="A14" s="395" t="str">
        <f>B3</f>
        <v>0000</v>
      </c>
      <c r="B14" s="396" t="str">
        <f>B4</f>
        <v xml:space="preserve">SELECT SCHOOL HERE </v>
      </c>
      <c r="C14" s="397"/>
      <c r="D14" s="398"/>
      <c r="E14" s="399"/>
      <c r="F14" s="399"/>
      <c r="G14" s="399"/>
      <c r="H14" s="399"/>
      <c r="I14" s="399"/>
      <c r="J14" s="399"/>
      <c r="K14" s="399"/>
      <c r="L14" s="399"/>
      <c r="M14" s="400"/>
      <c r="N14" s="398"/>
      <c r="O14" s="399"/>
      <c r="P14" s="399"/>
      <c r="Q14" s="399"/>
      <c r="R14" s="399"/>
      <c r="S14" s="399"/>
      <c r="T14" s="399"/>
      <c r="U14" s="399"/>
      <c r="V14" s="399"/>
      <c r="W14" s="401"/>
      <c r="X14" s="402"/>
      <c r="Y14" s="403"/>
      <c r="Z14" s="404"/>
      <c r="AA14" s="404"/>
      <c r="AB14" s="404"/>
      <c r="AC14" s="405"/>
      <c r="AD14" s="406"/>
      <c r="AE14" s="403"/>
      <c r="AF14" s="404"/>
      <c r="AG14" s="404"/>
      <c r="AH14" s="404"/>
      <c r="AI14" s="405"/>
    </row>
    <row r="21" spans="1:5" hidden="1"/>
    <row r="22" spans="1:5" hidden="1"/>
    <row r="23" spans="1:5" hidden="1">
      <c r="A23" s="730" t="s">
        <v>228</v>
      </c>
      <c r="B23" s="732" t="s">
        <v>214</v>
      </c>
      <c r="C23" s="409"/>
      <c r="D23" s="734" t="s">
        <v>854</v>
      </c>
      <c r="E23" s="735"/>
    </row>
    <row r="24" spans="1:5" ht="15" hidden="1" thickBot="1">
      <c r="A24" s="731"/>
      <c r="B24" s="733"/>
      <c r="C24" s="409"/>
      <c r="D24" s="736"/>
      <c r="E24" s="737"/>
    </row>
    <row r="25" spans="1:5" ht="15" hidden="1" thickBot="1">
      <c r="A25" s="410"/>
      <c r="B25" s="411"/>
      <c r="C25" s="409"/>
      <c r="D25" s="412"/>
      <c r="E25" s="413"/>
    </row>
    <row r="26" spans="1:5" hidden="1">
      <c r="A26" s="414"/>
      <c r="B26" s="415"/>
      <c r="C26" s="409"/>
      <c r="D26" s="407" t="s">
        <v>855</v>
      </c>
      <c r="E26" s="408" t="s">
        <v>856</v>
      </c>
    </row>
    <row r="27" spans="1:5" ht="15" hidden="1" thickBot="1">
      <c r="A27" s="416" t="str">
        <f>A14</f>
        <v>0000</v>
      </c>
      <c r="B27" s="417" t="str">
        <f>B14</f>
        <v xml:space="preserve">SELECT SCHOOL HERE </v>
      </c>
      <c r="C27" s="418"/>
      <c r="D27" s="419"/>
      <c r="E27" s="420"/>
    </row>
    <row r="28" spans="1:5" hidden="1"/>
    <row r="29" spans="1:5" hidden="1"/>
    <row r="30" spans="1:5" hidden="1"/>
  </sheetData>
  <sheetProtection algorithmName="SHA-512" hashValue="VNYtPSVhpaK5ZDNCX0AoqgE1VdXzA1+oSeQ65CkYh4ihWewPhkUueselHfwLtjpxP8ry4EHnrsBNtJnCPzhsAQ==" saltValue="DmkvRKHRzJFMSDJK/fq1/g==" spinCount="100000" sheet="1" selectLockedCells="1"/>
  <protectedRanges>
    <protectedRange sqref="C8:C9 C13:C14 C18:C19 C26:C29" name="Range1_1_2"/>
    <protectedRange sqref="C34:C36" name="Range1_1"/>
  </protectedRanges>
  <mergeCells count="24">
    <mergeCell ref="D2:E2"/>
    <mergeCell ref="D3:E3"/>
    <mergeCell ref="A6:B6"/>
    <mergeCell ref="A8:B8"/>
    <mergeCell ref="D8:W8"/>
    <mergeCell ref="AE8:AI8"/>
    <mergeCell ref="A10:A11"/>
    <mergeCell ref="B10:B11"/>
    <mergeCell ref="D10:M11"/>
    <mergeCell ref="N10:W11"/>
    <mergeCell ref="Y10:Y12"/>
    <mergeCell ref="Z10:Z12"/>
    <mergeCell ref="AA10:AA12"/>
    <mergeCell ref="AB10:AB12"/>
    <mergeCell ref="Y8:AC8"/>
    <mergeCell ref="AI10:AI12"/>
    <mergeCell ref="AF10:AF12"/>
    <mergeCell ref="AG10:AG12"/>
    <mergeCell ref="AH10:AH12"/>
    <mergeCell ref="A23:A24"/>
    <mergeCell ref="B23:B24"/>
    <mergeCell ref="D23:E24"/>
    <mergeCell ref="AC10:AC12"/>
    <mergeCell ref="AE10:AE12"/>
  </mergeCells>
  <dataValidations count="1">
    <dataValidation type="textLength" operator="lessThanOrEqual" allowBlank="1" showInputMessage="1" showErrorMessage="1" sqref="E3" xr:uid="{FE126ED1-A7E6-427A-AF76-EE0A64C1BA83}">
      <formula1>5</formula1>
    </dataValidation>
  </dataValidations>
  <pageMargins left="0.7" right="0.7" top="0.75" bottom="0.75" header="0.3" footer="0.3"/>
  <pageSetup paperSize="9" scale="61" orientation="portrait" r:id="rId1"/>
  <headerFooter>
    <oddFooter>&amp;C_x000D_&amp;1#&amp;"Calibri"&amp;10&amp;K000000 OFFICIAL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195CE-FA32-4E24-8C86-D41059B80E18}">
  <dimension ref="A1"/>
  <sheetViews>
    <sheetView workbookViewId="0">
      <selection activeCell="M6" sqref="M6"/>
    </sheetView>
  </sheetViews>
  <sheetFormatPr defaultRowHeight="14.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2D780-DA9F-44EF-AEB9-9678EE3A98B0}">
  <dimension ref="A1"/>
  <sheetViews>
    <sheetView topLeftCell="E1" workbookViewId="0">
      <selection activeCell="S3" sqref="S3"/>
    </sheetView>
  </sheetViews>
  <sheetFormatPr defaultRowHeight="14.5"/>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D116-D21A-4259-A894-BC5CC32D632C}">
  <dimension ref="A1"/>
  <sheetViews>
    <sheetView topLeftCell="A4" workbookViewId="0">
      <selection activeCell="A5" sqref="A5"/>
    </sheetView>
  </sheetViews>
  <sheetFormatPr defaultRowHeight="14.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20"/>
  <sheetViews>
    <sheetView zoomScaleNormal="100" workbookViewId="0">
      <selection activeCell="C25" sqref="C25"/>
    </sheetView>
  </sheetViews>
  <sheetFormatPr defaultColWidth="8.7265625" defaultRowHeight="14.5"/>
  <cols>
    <col min="1" max="1" width="41.81640625" customWidth="1"/>
    <col min="2" max="2" width="40.1796875" customWidth="1"/>
    <col min="4" max="4" width="13.81640625" customWidth="1"/>
    <col min="5" max="5" width="7.453125" customWidth="1"/>
    <col min="6" max="6" width="13.81640625" customWidth="1"/>
    <col min="7" max="7" width="19.1796875" hidden="1" customWidth="1"/>
    <col min="8" max="8" width="25.1796875" hidden="1" customWidth="1"/>
  </cols>
  <sheetData>
    <row r="1" spans="1:6">
      <c r="A1" s="119" t="s">
        <v>211</v>
      </c>
      <c r="B1" s="120"/>
      <c r="C1" s="120"/>
    </row>
    <row r="2" spans="1:6">
      <c r="A2" s="119" t="s">
        <v>212</v>
      </c>
      <c r="B2" s="121" t="str">
        <f>'2. CFR Return'!E4</f>
        <v>0000</v>
      </c>
      <c r="C2" s="119" t="s">
        <v>213</v>
      </c>
    </row>
    <row r="3" spans="1:6">
      <c r="A3" s="119" t="s">
        <v>214</v>
      </c>
      <c r="B3" s="119" t="str">
        <f>'2. CFR Return'!E3</f>
        <v xml:space="preserve">SELECT SCHOOL HERE </v>
      </c>
      <c r="C3" s="119" t="str">
        <f>+'2. CFR Return'!E5</f>
        <v>Quarter 3</v>
      </c>
    </row>
    <row r="5" spans="1:6">
      <c r="A5" s="122" t="s">
        <v>215</v>
      </c>
    </row>
    <row r="6" spans="1:6">
      <c r="A6" s="122"/>
    </row>
    <row r="7" spans="1:6">
      <c r="A7" s="122"/>
    </row>
    <row r="8" spans="1:6">
      <c r="A8" s="122"/>
    </row>
    <row r="9" spans="1:6">
      <c r="A9" s="122"/>
      <c r="D9" s="4" t="s">
        <v>2</v>
      </c>
      <c r="E9" s="4"/>
      <c r="F9" s="184"/>
    </row>
    <row r="10" spans="1:6">
      <c r="A10" s="122"/>
    </row>
    <row r="11" spans="1:6">
      <c r="B11" s="71" t="s">
        <v>195</v>
      </c>
      <c r="D11" s="205">
        <v>45473</v>
      </c>
      <c r="E11" s="206"/>
    </row>
    <row r="12" spans="1:6" ht="55" customHeight="1">
      <c r="D12" s="185" t="s">
        <v>216</v>
      </c>
      <c r="E12" s="185"/>
      <c r="F12" s="185" t="s">
        <v>217</v>
      </c>
    </row>
    <row r="14" spans="1:6">
      <c r="B14" s="78" t="s">
        <v>161</v>
      </c>
      <c r="C14" s="72"/>
      <c r="D14" s="210"/>
      <c r="E14" s="207"/>
      <c r="F14" s="210"/>
    </row>
    <row r="15" spans="1:6">
      <c r="B15" s="82"/>
      <c r="C15" s="72"/>
      <c r="D15" s="72"/>
      <c r="E15" s="72"/>
      <c r="F15" s="72"/>
    </row>
    <row r="16" spans="1:6">
      <c r="B16" s="76" t="s">
        <v>162</v>
      </c>
      <c r="C16" s="72"/>
      <c r="D16" s="72"/>
      <c r="E16" s="72"/>
      <c r="F16" s="72"/>
    </row>
    <row r="17" spans="2:8">
      <c r="B17" s="84" t="s">
        <v>163</v>
      </c>
      <c r="C17" s="72"/>
      <c r="D17" s="210"/>
      <c r="E17" s="207"/>
      <c r="F17" s="210"/>
    </row>
    <row r="18" spans="2:8">
      <c r="B18" s="84" t="s">
        <v>164</v>
      </c>
      <c r="C18" s="72"/>
      <c r="D18" s="210"/>
      <c r="E18" s="207"/>
      <c r="F18" s="210"/>
    </row>
    <row r="19" spans="2:8">
      <c r="B19" s="82"/>
      <c r="C19" s="72"/>
      <c r="D19" s="73"/>
      <c r="E19" s="73"/>
      <c r="F19" s="73"/>
    </row>
    <row r="20" spans="2:8" ht="15" thickBot="1">
      <c r="B20" s="78" t="s">
        <v>165</v>
      </c>
      <c r="C20" s="72"/>
      <c r="D20" s="209">
        <f>D14-D17+D18</f>
        <v>0</v>
      </c>
      <c r="E20" s="208"/>
      <c r="F20" s="209">
        <f>F14-F17+F18</f>
        <v>0</v>
      </c>
    </row>
  </sheetData>
  <sheetProtection selectLockedCells="1"/>
  <conditionalFormatting sqref="E14 E17:E18 E20">
    <cfRule type="cellIs" dxfId="1" priority="9" operator="lessThan">
      <formula>-1</formula>
    </cfRule>
  </conditionalFormatting>
  <conditionalFormatting sqref="G17:H18">
    <cfRule type="cellIs" dxfId="0" priority="4" operator="lessThan">
      <formula>-1</formula>
    </cfRule>
  </conditionalFormatting>
  <pageMargins left="0.7" right="0.7" top="0.75" bottom="0.75" header="0.3" footer="0.3"/>
  <pageSetup paperSize="9" scale="79" orientation="portrait" verticalDpi="300" r:id="rId1"/>
  <headerFooter>
    <oddFooter>&amp;C_x000D_&amp;1#&amp;"Calibri"&amp;10&amp;K000000 OFFICIAL</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K247"/>
  <sheetViews>
    <sheetView showGridLines="0" tabSelected="1" topLeftCell="D1" zoomScaleNormal="100" workbookViewId="0">
      <pane ySplit="9" topLeftCell="A10" activePane="bottomLeft" state="frozen"/>
      <selection pane="bottomLeft" activeCell="I5" sqref="I5"/>
    </sheetView>
  </sheetViews>
  <sheetFormatPr defaultColWidth="9.1796875" defaultRowHeight="12"/>
  <cols>
    <col min="1" max="2" width="0" style="10" hidden="1" customWidth="1"/>
    <col min="3" max="3" width="17.26953125" style="10" hidden="1" customWidth="1"/>
    <col min="4" max="4" width="18.54296875" style="113" customWidth="1"/>
    <col min="5" max="5" width="54.453125" style="10" customWidth="1"/>
    <col min="6" max="6" width="11.7265625" style="59" customWidth="1"/>
    <col min="7" max="7" width="12.81640625" style="59" customWidth="1"/>
    <col min="8" max="8" width="12.1796875" style="59" customWidth="1"/>
    <col min="9" max="9" width="11.453125" style="59" customWidth="1"/>
    <col min="10" max="10" width="12.453125" style="10" customWidth="1"/>
    <col min="11" max="11" width="11.26953125" style="10" customWidth="1"/>
    <col min="12" max="12" width="12.1796875" style="10" hidden="1" customWidth="1"/>
    <col min="13" max="13" width="4.453125" style="10" hidden="1" customWidth="1"/>
    <col min="14" max="14" width="3" style="10" hidden="1" customWidth="1"/>
    <col min="15" max="15" width="7.54296875" style="10" hidden="1" customWidth="1"/>
    <col min="16" max="16" width="6.453125" style="10" hidden="1" customWidth="1"/>
    <col min="17" max="17" width="9.26953125" style="10" hidden="1" customWidth="1"/>
    <col min="18" max="18" width="0.453125" style="10" customWidth="1"/>
    <col min="19" max="19" width="11.54296875" style="10" customWidth="1"/>
    <col min="20" max="21" width="10.81640625" style="10" customWidth="1"/>
    <col min="22" max="22" width="11.7265625" style="10" customWidth="1"/>
    <col min="23" max="23" width="10" style="10" bestFit="1" customWidth="1"/>
    <col min="24" max="24" width="50" style="21" customWidth="1"/>
    <col min="25" max="25" width="10" style="21" customWidth="1"/>
    <col min="26" max="26" width="10" style="3" customWidth="1"/>
    <col min="27" max="27" width="12" style="10" hidden="1" customWidth="1"/>
    <col min="28" max="28" width="11" style="10" hidden="1" customWidth="1"/>
    <col min="29" max="29" width="4.54296875" style="10" hidden="1" customWidth="1"/>
    <col min="30" max="30" width="10.453125" style="10" hidden="1" customWidth="1"/>
    <col min="31" max="31" width="4.26953125" style="10" hidden="1" customWidth="1"/>
    <col min="32" max="32" width="13.81640625" style="10" hidden="1" customWidth="1"/>
    <col min="33" max="34" width="10.1796875" style="10" hidden="1" customWidth="1"/>
    <col min="35" max="35" width="9.1796875" style="10" hidden="1" customWidth="1"/>
    <col min="36" max="36" width="29.26953125" style="10" hidden="1" customWidth="1"/>
    <col min="37" max="37" width="9.1796875" style="10" hidden="1" customWidth="1"/>
    <col min="38" max="38" width="9.1796875" style="10" customWidth="1"/>
    <col min="39" max="16384" width="9.1796875" style="10"/>
  </cols>
  <sheetData>
    <row r="1" spans="2:36" s="1" customFormat="1" ht="15" customHeight="1">
      <c r="D1" s="588" t="s">
        <v>1023</v>
      </c>
      <c r="E1" s="589"/>
      <c r="F1" s="589"/>
      <c r="G1" s="589"/>
      <c r="H1" s="589"/>
      <c r="I1" s="589"/>
      <c r="J1" s="589"/>
      <c r="K1" s="589"/>
      <c r="L1" s="589"/>
      <c r="M1" s="589"/>
      <c r="N1" s="589"/>
      <c r="O1" s="589"/>
      <c r="P1" s="589"/>
      <c r="Q1" s="589"/>
      <c r="R1" s="589"/>
      <c r="S1" s="589"/>
      <c r="T1" s="589"/>
      <c r="U1" s="589"/>
      <c r="V1" s="589"/>
      <c r="W1" s="590"/>
      <c r="X1" s="2"/>
      <c r="Y1" s="3"/>
    </row>
    <row r="2" spans="2:36" s="1" customFormat="1" ht="8.15" customHeight="1">
      <c r="D2" s="591"/>
      <c r="E2" s="367"/>
      <c r="F2" s="367"/>
      <c r="G2" s="367"/>
      <c r="H2" s="367"/>
      <c r="I2" s="367"/>
      <c r="J2" s="367"/>
      <c r="K2" s="367"/>
      <c r="L2" s="367"/>
      <c r="M2" s="367"/>
      <c r="N2" s="367"/>
      <c r="O2" s="367"/>
      <c r="P2" s="367"/>
      <c r="Q2" s="367"/>
      <c r="R2" s="367"/>
      <c r="S2" s="367"/>
      <c r="T2" s="367"/>
      <c r="U2" s="367"/>
      <c r="V2" s="367"/>
      <c r="W2" s="592"/>
      <c r="X2" s="2"/>
      <c r="Y2" s="3"/>
    </row>
    <row r="3" spans="2:36" s="1" customFormat="1" ht="14">
      <c r="D3" s="591" t="s">
        <v>0</v>
      </c>
      <c r="E3" s="596" t="s">
        <v>1001</v>
      </c>
      <c r="F3" s="367" t="s">
        <v>993</v>
      </c>
      <c r="G3" s="367"/>
      <c r="H3" s="367"/>
      <c r="I3" s="367"/>
      <c r="J3" s="367"/>
      <c r="K3" s="367"/>
      <c r="L3" s="367"/>
      <c r="M3" s="367"/>
      <c r="N3" s="367"/>
      <c r="O3" s="367"/>
      <c r="P3" s="367"/>
      <c r="Q3" s="367"/>
      <c r="R3" s="367"/>
      <c r="S3" s="367"/>
      <c r="T3" s="367"/>
      <c r="U3" s="367"/>
      <c r="V3" s="367"/>
      <c r="W3" s="592"/>
      <c r="Y3" s="3"/>
    </row>
    <row r="4" spans="2:36" s="1" customFormat="1" ht="14.5" thickBot="1">
      <c r="D4" s="591" t="s">
        <v>3</v>
      </c>
      <c r="E4" s="605" t="str">
        <f>VLOOKUP('2. CFR Return'!E3,Lookup!A:B,2,FALSE)</f>
        <v>0000</v>
      </c>
      <c r="F4" s="367"/>
      <c r="G4" s="367"/>
      <c r="H4" s="367"/>
      <c r="I4" s="367"/>
      <c r="J4" s="367"/>
      <c r="K4" s="367"/>
      <c r="L4" s="367"/>
      <c r="M4" s="367"/>
      <c r="N4" s="367"/>
      <c r="O4" s="367"/>
      <c r="P4" s="367"/>
      <c r="Q4" s="367"/>
      <c r="R4" s="367"/>
      <c r="S4" s="367"/>
      <c r="T4" s="367"/>
      <c r="U4" s="367"/>
      <c r="V4" s="367"/>
      <c r="W4" s="592"/>
      <c r="X4" s="2"/>
      <c r="Y4" s="3"/>
    </row>
    <row r="5" spans="2:36" s="1" customFormat="1" ht="14">
      <c r="D5" s="591" t="s">
        <v>5</v>
      </c>
      <c r="E5" s="367" t="s">
        <v>288</v>
      </c>
      <c r="F5" s="367"/>
      <c r="G5" s="367"/>
      <c r="H5" s="367"/>
      <c r="I5" s="367"/>
      <c r="J5" s="367"/>
      <c r="K5" s="367"/>
      <c r="L5" s="367"/>
      <c r="M5" s="367"/>
      <c r="N5" s="367"/>
      <c r="O5" s="367"/>
      <c r="P5" s="367"/>
      <c r="Q5" s="367"/>
      <c r="R5" s="367"/>
      <c r="S5" s="367"/>
      <c r="T5" s="367"/>
      <c r="U5" s="367"/>
      <c r="V5" s="367"/>
      <c r="W5" s="592"/>
      <c r="X5" s="2"/>
      <c r="Y5" s="3"/>
      <c r="AA5" s="5"/>
      <c r="AB5" s="6"/>
      <c r="AC5" s="6"/>
      <c r="AD5" s="6"/>
      <c r="AE5" s="6"/>
      <c r="AF5" s="6"/>
      <c r="AG5" s="6"/>
      <c r="AH5" s="6"/>
      <c r="AI5" s="6"/>
      <c r="AJ5" s="6"/>
    </row>
    <row r="6" spans="2:36" s="1" customFormat="1" ht="15" customHeight="1">
      <c r="D6" s="591" t="s">
        <v>6</v>
      </c>
      <c r="E6" s="367" t="s">
        <v>7</v>
      </c>
      <c r="F6" s="367"/>
      <c r="G6" s="367"/>
      <c r="H6" s="367"/>
      <c r="I6" s="367"/>
      <c r="J6" s="367"/>
      <c r="K6" s="367"/>
      <c r="L6" s="367"/>
      <c r="M6" s="367"/>
      <c r="N6" s="367"/>
      <c r="O6" s="367"/>
      <c r="P6" s="367"/>
      <c r="Q6" s="367"/>
      <c r="R6" s="367"/>
      <c r="S6" s="367"/>
      <c r="T6" s="367"/>
      <c r="U6" s="367"/>
      <c r="V6" s="367"/>
      <c r="W6" s="592"/>
      <c r="X6" s="4" t="s">
        <v>2</v>
      </c>
      <c r="Y6" s="3"/>
      <c r="AA6" s="7"/>
      <c r="AB6" s="1" t="s">
        <v>202</v>
      </c>
    </row>
    <row r="7" spans="2:36" s="1" customFormat="1" ht="8.15" customHeight="1" thickBot="1">
      <c r="D7" s="593"/>
      <c r="E7" s="594"/>
      <c r="F7" s="594"/>
      <c r="G7" s="594"/>
      <c r="H7" s="594"/>
      <c r="I7" s="594"/>
      <c r="J7" s="594"/>
      <c r="K7" s="594"/>
      <c r="L7" s="594"/>
      <c r="M7" s="594"/>
      <c r="N7" s="594"/>
      <c r="O7" s="594"/>
      <c r="P7" s="594"/>
      <c r="Q7" s="594"/>
      <c r="R7" s="594"/>
      <c r="S7" s="594"/>
      <c r="T7" s="594"/>
      <c r="U7" s="594"/>
      <c r="V7" s="594"/>
      <c r="W7" s="595"/>
      <c r="X7" s="2"/>
      <c r="Y7" s="3"/>
      <c r="AA7" s="7"/>
    </row>
    <row r="8" spans="2:36" s="8" customFormat="1" ht="14.5">
      <c r="D8" s="699"/>
      <c r="E8" s="699"/>
      <c r="F8" s="699"/>
      <c r="G8" s="699"/>
      <c r="H8" s="699"/>
      <c r="I8" s="699"/>
      <c r="J8" s="700"/>
      <c r="K8" s="700"/>
      <c r="L8" s="700"/>
      <c r="M8" s="700"/>
      <c r="N8" s="700"/>
      <c r="O8" s="700"/>
      <c r="P8" s="700"/>
      <c r="Q8" s="700"/>
      <c r="R8" s="700"/>
      <c r="S8" s="700"/>
      <c r="T8" s="700"/>
      <c r="U8" s="700"/>
      <c r="V8" s="700"/>
      <c r="W8" s="114"/>
      <c r="X8" s="2"/>
      <c r="Y8" s="2"/>
      <c r="Z8" s="3"/>
      <c r="AA8" s="9"/>
    </row>
    <row r="9" spans="2:36" ht="81.75" customHeight="1">
      <c r="D9" s="116"/>
      <c r="E9" s="250" t="s">
        <v>8</v>
      </c>
      <c r="F9" s="11" t="s">
        <v>1024</v>
      </c>
      <c r="G9" s="11" t="s">
        <v>1022</v>
      </c>
      <c r="H9" s="11" t="s">
        <v>1021</v>
      </c>
      <c r="I9" s="11" t="s">
        <v>1020</v>
      </c>
      <c r="J9" s="11" t="s">
        <v>857</v>
      </c>
      <c r="K9" s="11" t="s">
        <v>1025</v>
      </c>
      <c r="L9" s="11" t="s">
        <v>825</v>
      </c>
      <c r="M9" s="11" t="s">
        <v>9</v>
      </c>
      <c r="N9" s="11" t="s">
        <v>10</v>
      </c>
      <c r="O9" s="11" t="s">
        <v>11</v>
      </c>
      <c r="P9" s="11" t="s">
        <v>12</v>
      </c>
      <c r="Q9" s="11" t="s">
        <v>13</v>
      </c>
      <c r="R9" s="11"/>
      <c r="S9" s="11" t="s">
        <v>1026</v>
      </c>
      <c r="T9" s="11" t="s">
        <v>14</v>
      </c>
      <c r="U9" s="11" t="s">
        <v>1028</v>
      </c>
      <c r="V9" s="11" t="s">
        <v>1027</v>
      </c>
      <c r="W9" s="251" t="s">
        <v>750</v>
      </c>
      <c r="X9" s="250" t="s">
        <v>826</v>
      </c>
      <c r="Y9" s="12"/>
      <c r="Z9" s="12"/>
      <c r="AA9" s="13"/>
      <c r="AB9" s="11" t="s">
        <v>203</v>
      </c>
      <c r="AC9" s="14"/>
      <c r="AF9" s="11" t="s">
        <v>204</v>
      </c>
      <c r="AG9" s="14"/>
      <c r="AH9" s="14"/>
      <c r="AJ9" s="11" t="s">
        <v>15</v>
      </c>
    </row>
    <row r="10" spans="2:36" ht="15.75" customHeight="1">
      <c r="D10" s="247"/>
      <c r="E10" s="252"/>
      <c r="F10" s="11" t="s">
        <v>751</v>
      </c>
      <c r="G10" s="11" t="s">
        <v>751</v>
      </c>
      <c r="H10" s="11" t="s">
        <v>751</v>
      </c>
      <c r="I10" s="11" t="s">
        <v>751</v>
      </c>
      <c r="J10" s="11" t="s">
        <v>751</v>
      </c>
      <c r="K10" s="11" t="s">
        <v>751</v>
      </c>
      <c r="L10" s="11" t="s">
        <v>751</v>
      </c>
      <c r="M10" s="11" t="s">
        <v>751</v>
      </c>
      <c r="N10" s="11" t="s">
        <v>751</v>
      </c>
      <c r="O10" s="11" t="s">
        <v>751</v>
      </c>
      <c r="P10" s="11" t="s">
        <v>751</v>
      </c>
      <c r="Q10" s="11" t="s">
        <v>751</v>
      </c>
      <c r="R10" s="11"/>
      <c r="S10" s="11" t="s">
        <v>751</v>
      </c>
      <c r="T10" s="11"/>
      <c r="U10" s="11"/>
      <c r="V10" s="11" t="s">
        <v>751</v>
      </c>
      <c r="W10" s="251" t="s">
        <v>751</v>
      </c>
      <c r="X10" s="252"/>
      <c r="Y10" s="12"/>
      <c r="Z10" s="12"/>
      <c r="AA10" s="13"/>
      <c r="AB10" s="248"/>
      <c r="AC10" s="14"/>
      <c r="AF10" s="248"/>
      <c r="AG10" s="14"/>
      <c r="AH10" s="14"/>
      <c r="AJ10" s="249"/>
    </row>
    <row r="11" spans="2:36" ht="18">
      <c r="D11" s="117" t="s">
        <v>16</v>
      </c>
      <c r="E11" s="66"/>
      <c r="F11" s="211"/>
      <c r="G11" s="211"/>
      <c r="H11" s="211"/>
      <c r="I11" s="211"/>
      <c r="J11" s="211"/>
      <c r="K11" s="211"/>
      <c r="L11" s="211"/>
      <c r="M11" s="211"/>
      <c r="N11" s="211"/>
      <c r="O11" s="211"/>
      <c r="P11" s="211"/>
      <c r="Q11" s="211"/>
      <c r="R11" s="211"/>
      <c r="S11" s="211"/>
      <c r="T11" s="211"/>
      <c r="U11" s="211"/>
      <c r="V11" s="211"/>
      <c r="W11" s="211"/>
      <c r="X11" s="16"/>
      <c r="Y11" s="12"/>
      <c r="Z11" s="12"/>
      <c r="AA11" s="13"/>
      <c r="AB11" s="15"/>
      <c r="AC11" s="14"/>
      <c r="AF11" s="15"/>
      <c r="AG11" s="14"/>
      <c r="AH11" s="14"/>
      <c r="AJ11" s="16"/>
    </row>
    <row r="12" spans="2:36" ht="12" customHeight="1">
      <c r="D12" s="115">
        <v>7</v>
      </c>
      <c r="E12" s="118">
        <v>8</v>
      </c>
      <c r="F12" s="14"/>
      <c r="G12" s="14"/>
      <c r="H12" s="14"/>
      <c r="I12" s="14"/>
      <c r="J12" s="14"/>
      <c r="K12" s="14"/>
      <c r="L12" s="14"/>
      <c r="M12" s="14"/>
      <c r="N12" s="14"/>
      <c r="O12" s="14"/>
      <c r="P12" s="14"/>
      <c r="Q12" s="14"/>
      <c r="R12" s="14"/>
      <c r="S12" s="14"/>
      <c r="T12" s="14"/>
      <c r="U12" s="14"/>
      <c r="V12" s="14"/>
      <c r="W12" s="14"/>
      <c r="X12" s="16"/>
      <c r="Y12" s="12"/>
      <c r="Z12" s="12"/>
      <c r="AA12" s="13"/>
      <c r="AB12" s="14"/>
      <c r="AC12" s="14"/>
      <c r="AF12" s="14"/>
      <c r="AG12" s="14"/>
      <c r="AH12" s="14"/>
      <c r="AJ12" s="16"/>
    </row>
    <row r="13" spans="2:36" ht="15" customHeight="1">
      <c r="D13" s="701" t="s">
        <v>17</v>
      </c>
      <c r="E13" s="698"/>
      <c r="F13" s="17">
        <f>IFERROR(ROUND(VLOOKUP($E$4,'Outturn 2024-25'!$A:$DW,58,FALSE),2),0)</f>
        <v>0</v>
      </c>
      <c r="G13" s="171">
        <f>V13</f>
        <v>0</v>
      </c>
      <c r="H13" s="17"/>
      <c r="I13" s="17">
        <f>G13+H13</f>
        <v>0</v>
      </c>
      <c r="J13" s="18"/>
      <c r="K13" s="18"/>
      <c r="L13" s="18">
        <f>G13</f>
        <v>0</v>
      </c>
      <c r="M13" s="18"/>
      <c r="N13" s="18"/>
      <c r="O13" s="18"/>
      <c r="P13" s="18"/>
      <c r="Q13" s="18"/>
      <c r="R13" s="18"/>
      <c r="S13" s="18">
        <f>G13</f>
        <v>0</v>
      </c>
      <c r="T13" s="19"/>
      <c r="U13" s="19"/>
      <c r="V13" s="18">
        <f>F119</f>
        <v>0</v>
      </c>
      <c r="W13" s="19"/>
      <c r="X13" s="20"/>
      <c r="Z13" s="21"/>
      <c r="AA13" s="22"/>
      <c r="AB13" s="18"/>
      <c r="AC13" s="23"/>
      <c r="AF13" s="18">
        <v>0</v>
      </c>
      <c r="AG13" s="23"/>
      <c r="AH13" s="23"/>
      <c r="AJ13" s="20"/>
    </row>
    <row r="14" spans="2:36">
      <c r="D14" s="24"/>
      <c r="E14" s="25" t="s">
        <v>18</v>
      </c>
      <c r="F14" s="26"/>
      <c r="G14" s="172"/>
      <c r="H14" s="26"/>
      <c r="I14" s="26"/>
      <c r="J14" s="26"/>
      <c r="K14" s="26"/>
      <c r="L14" s="26"/>
      <c r="M14" s="26"/>
      <c r="N14" s="26"/>
      <c r="O14" s="26"/>
      <c r="P14" s="26"/>
      <c r="Q14" s="26"/>
      <c r="R14" s="26"/>
      <c r="S14" s="26"/>
      <c r="T14" s="26"/>
      <c r="U14" s="26"/>
      <c r="V14" s="163"/>
      <c r="W14" s="26"/>
      <c r="X14" s="26"/>
      <c r="AA14" s="13"/>
      <c r="AB14" s="26"/>
      <c r="AC14" s="27"/>
      <c r="AF14" s="26"/>
      <c r="AG14" s="27"/>
      <c r="AH14" s="27"/>
      <c r="AJ14" s="26"/>
    </row>
    <row r="15" spans="2:36" ht="12" customHeight="1">
      <c r="B15" s="10" t="s">
        <v>941</v>
      </c>
      <c r="C15" s="450" t="s">
        <v>940</v>
      </c>
      <c r="D15" s="24" t="s">
        <v>19</v>
      </c>
      <c r="E15" s="28" t="s">
        <v>20</v>
      </c>
      <c r="F15" s="29">
        <f>IFERROR(ROUND(VLOOKUP($E$4,'Outturn 2024-25'!$A:$DW,8,FALSE),2),0)</f>
        <v>0</v>
      </c>
      <c r="G15" s="30"/>
      <c r="H15" s="30"/>
      <c r="I15" s="173">
        <f>G15+H15</f>
        <v>0</v>
      </c>
      <c r="J15" s="29">
        <f>VLOOKUP($E$4,Payments!$A:$T,8,FALSE)</f>
        <v>0</v>
      </c>
      <c r="K15" s="30"/>
      <c r="L15" s="29">
        <f>J15+K15</f>
        <v>0</v>
      </c>
      <c r="M15" s="29">
        <v>0</v>
      </c>
      <c r="N15" s="31"/>
      <c r="O15" s="31"/>
      <c r="P15" s="29">
        <v>0</v>
      </c>
      <c r="Q15" s="29">
        <f>M15+P15</f>
        <v>0</v>
      </c>
      <c r="R15" s="29"/>
      <c r="S15" s="29">
        <f>L15+Q15</f>
        <v>0</v>
      </c>
      <c r="T15" s="32" t="str">
        <f>IFERROR((S15/G15),"")</f>
        <v/>
      </c>
      <c r="U15" s="597" t="str">
        <f>IFERROR(+S15/$S$30,"")</f>
        <v/>
      </c>
      <c r="V15" s="30"/>
      <c r="W15" s="29">
        <f>I15-V15</f>
        <v>0</v>
      </c>
      <c r="X15" s="33"/>
      <c r="Z15" s="21"/>
      <c r="AA15" s="22"/>
      <c r="AB15" s="29"/>
      <c r="AC15" s="34"/>
      <c r="AF15" s="29">
        <v>0</v>
      </c>
      <c r="AG15" s="34"/>
      <c r="AH15" s="34"/>
      <c r="AJ15" s="33"/>
    </row>
    <row r="16" spans="2:36" ht="12" customHeight="1">
      <c r="C16" s="24" t="s">
        <v>942</v>
      </c>
      <c r="D16" s="24" t="s">
        <v>21</v>
      </c>
      <c r="E16" s="28" t="s">
        <v>22</v>
      </c>
      <c r="F16" s="29">
        <f>IFERROR(ROUND(VLOOKUP($E$4,'Outturn 2024-25'!$A:$DW,9,FALSE),2),0)</f>
        <v>0</v>
      </c>
      <c r="G16" s="30"/>
      <c r="H16" s="30"/>
      <c r="I16" s="173">
        <f t="shared" ref="I16:I29" si="0">G16+H16</f>
        <v>0</v>
      </c>
      <c r="J16" s="29">
        <f>VLOOKUP($E$4,Payments!$A:$T,9,FALSE)</f>
        <v>0</v>
      </c>
      <c r="K16" s="30"/>
      <c r="L16" s="29">
        <f>J16+K16</f>
        <v>0</v>
      </c>
      <c r="M16" s="29">
        <v>0</v>
      </c>
      <c r="N16" s="31"/>
      <c r="O16" s="31"/>
      <c r="P16" s="29">
        <v>0</v>
      </c>
      <c r="Q16" s="29">
        <f t="shared" ref="Q16:Q29" si="1">M16+P16</f>
        <v>0</v>
      </c>
      <c r="R16" s="29"/>
      <c r="S16" s="29">
        <f t="shared" ref="S16:S29" si="2">L16+Q16</f>
        <v>0</v>
      </c>
      <c r="T16" s="32" t="str">
        <f t="shared" ref="T16:T29" si="3">IFERROR((S16/G16),"")</f>
        <v/>
      </c>
      <c r="U16" s="597" t="str">
        <f t="shared" ref="U16:U29" si="4">IFERROR(+S16/$S$30,"")</f>
        <v/>
      </c>
      <c r="V16" s="30"/>
      <c r="W16" s="29">
        <f t="shared" ref="W16:W29" si="5">I16-V16</f>
        <v>0</v>
      </c>
      <c r="X16" s="33"/>
      <c r="Z16" s="21"/>
      <c r="AA16" s="22"/>
      <c r="AB16" s="29"/>
      <c r="AC16" s="34"/>
      <c r="AF16" s="29">
        <v>0</v>
      </c>
    </row>
    <row r="17" spans="3:32" ht="12" customHeight="1">
      <c r="C17" s="24" t="s">
        <v>943</v>
      </c>
      <c r="D17" s="24" t="s">
        <v>23</v>
      </c>
      <c r="E17" s="28" t="s">
        <v>24</v>
      </c>
      <c r="F17" s="29">
        <f>IFERROR(ROUND(VLOOKUP($E$4,'Outturn 2024-25'!$A:$DW,10,FALSE),2),0)</f>
        <v>0</v>
      </c>
      <c r="G17" s="30"/>
      <c r="H17" s="30"/>
      <c r="I17" s="173">
        <f t="shared" si="0"/>
        <v>0</v>
      </c>
      <c r="J17" s="29">
        <f>VLOOKUP($E$4,Payments!$A:$T,10,FALSE)</f>
        <v>0</v>
      </c>
      <c r="K17" s="30"/>
      <c r="L17" s="29">
        <f t="shared" ref="L17:L29" si="6">J17+K17</f>
        <v>0</v>
      </c>
      <c r="M17" s="29">
        <v>0</v>
      </c>
      <c r="N17" s="31"/>
      <c r="O17" s="31"/>
      <c r="P17" s="29">
        <v>0</v>
      </c>
      <c r="Q17" s="29">
        <f t="shared" si="1"/>
        <v>0</v>
      </c>
      <c r="R17" s="29"/>
      <c r="S17" s="29">
        <f t="shared" si="2"/>
        <v>0</v>
      </c>
      <c r="T17" s="32" t="str">
        <f t="shared" si="3"/>
        <v/>
      </c>
      <c r="U17" s="597" t="str">
        <f t="shared" si="4"/>
        <v/>
      </c>
      <c r="V17" s="30"/>
      <c r="W17" s="29">
        <f t="shared" si="5"/>
        <v>0</v>
      </c>
      <c r="X17" s="33"/>
      <c r="Z17" s="21"/>
      <c r="AA17" s="22"/>
      <c r="AB17" s="29"/>
      <c r="AC17" s="34"/>
      <c r="AF17" s="29">
        <v>0</v>
      </c>
    </row>
    <row r="18" spans="3:32" ht="12" customHeight="1">
      <c r="C18" s="24" t="s">
        <v>944</v>
      </c>
      <c r="D18" s="24" t="s">
        <v>270</v>
      </c>
      <c r="E18" s="28" t="s">
        <v>271</v>
      </c>
      <c r="F18" s="29">
        <f>IFERROR(ROUND(VLOOKUP($E$4,'Outturn 2024-25'!$A:$DW,11,FALSE),2),0)</f>
        <v>0</v>
      </c>
      <c r="G18" s="30"/>
      <c r="H18" s="30"/>
      <c r="I18" s="173">
        <f t="shared" si="0"/>
        <v>0</v>
      </c>
      <c r="J18" s="29"/>
      <c r="K18" s="30"/>
      <c r="L18" s="29">
        <f t="shared" si="6"/>
        <v>0</v>
      </c>
      <c r="M18" s="29"/>
      <c r="N18" s="31"/>
      <c r="O18" s="31"/>
      <c r="P18" s="29"/>
      <c r="Q18" s="29">
        <f t="shared" si="1"/>
        <v>0</v>
      </c>
      <c r="R18" s="29"/>
      <c r="S18" s="29">
        <f t="shared" si="2"/>
        <v>0</v>
      </c>
      <c r="T18" s="32" t="str">
        <f t="shared" si="3"/>
        <v/>
      </c>
      <c r="U18" s="597" t="str">
        <f t="shared" si="4"/>
        <v/>
      </c>
      <c r="V18" s="30"/>
      <c r="W18" s="29">
        <f t="shared" si="5"/>
        <v>0</v>
      </c>
      <c r="X18" s="33"/>
      <c r="Z18" s="21"/>
      <c r="AA18" s="22"/>
      <c r="AB18" s="29"/>
      <c r="AC18" s="34"/>
      <c r="AF18" s="29"/>
    </row>
    <row r="19" spans="3:32" ht="12" customHeight="1">
      <c r="C19" s="24" t="s">
        <v>945</v>
      </c>
      <c r="D19" s="24" t="s">
        <v>25</v>
      </c>
      <c r="E19" s="28" t="s">
        <v>26</v>
      </c>
      <c r="F19" s="29">
        <f>IFERROR(ROUND(VLOOKUP($E$4,'Outturn 2024-25'!$A:$DW,12,FALSE),2),0)</f>
        <v>0</v>
      </c>
      <c r="G19" s="30"/>
      <c r="H19" s="30"/>
      <c r="I19" s="173">
        <f t="shared" si="0"/>
        <v>0</v>
      </c>
      <c r="J19" s="29">
        <f>VLOOKUP($E$4,Payments!$A:$T,11,FALSE)</f>
        <v>0</v>
      </c>
      <c r="K19" s="30"/>
      <c r="L19" s="29">
        <f t="shared" si="6"/>
        <v>0</v>
      </c>
      <c r="M19" s="29">
        <v>0</v>
      </c>
      <c r="N19" s="31"/>
      <c r="O19" s="31"/>
      <c r="P19" s="29">
        <v>0</v>
      </c>
      <c r="Q19" s="29">
        <f t="shared" si="1"/>
        <v>0</v>
      </c>
      <c r="R19" s="29"/>
      <c r="S19" s="29">
        <f t="shared" si="2"/>
        <v>0</v>
      </c>
      <c r="T19" s="32" t="str">
        <f t="shared" si="3"/>
        <v/>
      </c>
      <c r="U19" s="597" t="str">
        <f t="shared" si="4"/>
        <v/>
      </c>
      <c r="V19" s="30"/>
      <c r="W19" s="29">
        <f t="shared" si="5"/>
        <v>0</v>
      </c>
      <c r="X19" s="33"/>
      <c r="Z19" s="21"/>
      <c r="AA19" s="22"/>
      <c r="AB19" s="29"/>
      <c r="AC19" s="34"/>
      <c r="AF19" s="29">
        <v>0</v>
      </c>
    </row>
    <row r="20" spans="3:32" ht="12" customHeight="1">
      <c r="C20" s="24" t="s">
        <v>948</v>
      </c>
      <c r="D20" s="24" t="s">
        <v>27</v>
      </c>
      <c r="E20" s="28" t="s">
        <v>28</v>
      </c>
      <c r="F20" s="29">
        <f>IFERROR(ROUND(VLOOKUP($E$4,'Outturn 2024-25'!$A:$DW,13,FALSE)+VLOOKUP($E$4,'Outturn 2024-25'!$A:$DW,23,FALSE)+VLOOKUP($E$4,'Outturn 2024-25'!$A:$DW,24,FALSE),2),0)</f>
        <v>0</v>
      </c>
      <c r="G20" s="30"/>
      <c r="H20" s="30"/>
      <c r="I20" s="173">
        <f t="shared" si="0"/>
        <v>0</v>
      </c>
      <c r="J20" s="29">
        <f>VLOOKUP($E$4,Payments!$A:$T,12,FALSE)</f>
        <v>0</v>
      </c>
      <c r="K20" s="30"/>
      <c r="L20" s="29">
        <f t="shared" si="6"/>
        <v>0</v>
      </c>
      <c r="M20" s="29">
        <v>0</v>
      </c>
      <c r="N20" s="31"/>
      <c r="O20" s="31"/>
      <c r="P20" s="29">
        <v>0</v>
      </c>
      <c r="Q20" s="29">
        <f t="shared" si="1"/>
        <v>0</v>
      </c>
      <c r="R20" s="29"/>
      <c r="S20" s="29">
        <f t="shared" si="2"/>
        <v>0</v>
      </c>
      <c r="T20" s="32" t="str">
        <f t="shared" si="3"/>
        <v/>
      </c>
      <c r="U20" s="597" t="str">
        <f t="shared" si="4"/>
        <v/>
      </c>
      <c r="V20" s="30"/>
      <c r="W20" s="29">
        <f t="shared" si="5"/>
        <v>0</v>
      </c>
      <c r="X20" s="33"/>
      <c r="Z20" s="21"/>
      <c r="AA20" s="22"/>
      <c r="AB20" s="29"/>
      <c r="AC20" s="34"/>
      <c r="AF20" s="29">
        <v>0</v>
      </c>
    </row>
    <row r="21" spans="3:32" ht="12" customHeight="1">
      <c r="C21" s="24" t="s">
        <v>949</v>
      </c>
      <c r="D21" s="24" t="s">
        <v>29</v>
      </c>
      <c r="E21" s="28" t="s">
        <v>30</v>
      </c>
      <c r="F21" s="29">
        <f>IFERROR(ROUND(VLOOKUP($E$4,'Outturn 2024-25'!$A:$DW,14,FALSE),2),0)</f>
        <v>0</v>
      </c>
      <c r="G21" s="30"/>
      <c r="H21" s="30"/>
      <c r="I21" s="173">
        <f t="shared" si="0"/>
        <v>0</v>
      </c>
      <c r="J21" s="29">
        <f>VLOOKUP($E$4,Payments!$A:$T,13,FALSE)</f>
        <v>0</v>
      </c>
      <c r="K21" s="30"/>
      <c r="L21" s="29">
        <f t="shared" si="6"/>
        <v>0</v>
      </c>
      <c r="M21" s="29">
        <v>0</v>
      </c>
      <c r="N21" s="31"/>
      <c r="O21" s="31"/>
      <c r="P21" s="29">
        <v>0</v>
      </c>
      <c r="Q21" s="29">
        <f t="shared" si="1"/>
        <v>0</v>
      </c>
      <c r="R21" s="29"/>
      <c r="S21" s="29">
        <f t="shared" si="2"/>
        <v>0</v>
      </c>
      <c r="T21" s="32" t="str">
        <f t="shared" si="3"/>
        <v/>
      </c>
      <c r="U21" s="597" t="str">
        <f t="shared" si="4"/>
        <v/>
      </c>
      <c r="V21" s="30"/>
      <c r="W21" s="29">
        <f t="shared" si="5"/>
        <v>0</v>
      </c>
      <c r="X21" s="33"/>
      <c r="Z21" s="21"/>
      <c r="AA21" s="22"/>
      <c r="AB21" s="29"/>
      <c r="AC21" s="34"/>
      <c r="AF21" s="29">
        <v>0</v>
      </c>
    </row>
    <row r="22" spans="3:32" ht="12" customHeight="1">
      <c r="C22" s="24" t="s">
        <v>950</v>
      </c>
      <c r="D22" s="24" t="s">
        <v>284</v>
      </c>
      <c r="E22" s="28" t="s">
        <v>273</v>
      </c>
      <c r="F22" s="29">
        <f>IFERROR(ROUND(VLOOKUP($E$4,'Outturn 2024-25'!$A:$DW,15,FALSE),2),0)</f>
        <v>0</v>
      </c>
      <c r="G22" s="30"/>
      <c r="H22" s="30"/>
      <c r="I22" s="173">
        <f t="shared" si="0"/>
        <v>0</v>
      </c>
      <c r="J22" s="29"/>
      <c r="K22" s="30"/>
      <c r="L22" s="29">
        <f t="shared" si="6"/>
        <v>0</v>
      </c>
      <c r="M22" s="29">
        <v>0</v>
      </c>
      <c r="N22" s="31"/>
      <c r="O22" s="31"/>
      <c r="P22" s="29">
        <v>0</v>
      </c>
      <c r="Q22" s="29">
        <f t="shared" si="1"/>
        <v>0</v>
      </c>
      <c r="R22" s="29"/>
      <c r="S22" s="29">
        <f t="shared" si="2"/>
        <v>0</v>
      </c>
      <c r="T22" s="32" t="str">
        <f t="shared" si="3"/>
        <v/>
      </c>
      <c r="U22" s="597" t="str">
        <f t="shared" si="4"/>
        <v/>
      </c>
      <c r="V22" s="30"/>
      <c r="W22" s="29">
        <f t="shared" si="5"/>
        <v>0</v>
      </c>
      <c r="X22" s="33"/>
      <c r="Z22" s="21"/>
      <c r="AA22" s="22"/>
      <c r="AB22" s="29"/>
      <c r="AC22" s="34"/>
      <c r="AF22" s="29">
        <v>0</v>
      </c>
    </row>
    <row r="23" spans="3:32" ht="12" customHeight="1">
      <c r="C23" s="24" t="s">
        <v>951</v>
      </c>
      <c r="D23" s="24" t="s">
        <v>285</v>
      </c>
      <c r="E23" s="28" t="s">
        <v>272</v>
      </c>
      <c r="F23" s="29">
        <f>IFERROR(ROUND(VLOOKUP($E$4,'Outturn 2024-25'!$A:$DW,16,FALSE),2),0)</f>
        <v>0</v>
      </c>
      <c r="G23" s="30"/>
      <c r="H23" s="30"/>
      <c r="I23" s="173">
        <f t="shared" si="0"/>
        <v>0</v>
      </c>
      <c r="J23" s="29">
        <f>VLOOKUP($E$4,Payments!$A:$T,14,FALSE)</f>
        <v>0</v>
      </c>
      <c r="K23" s="30"/>
      <c r="L23" s="29">
        <f t="shared" si="6"/>
        <v>0</v>
      </c>
      <c r="M23" s="29"/>
      <c r="N23" s="31"/>
      <c r="O23" s="31"/>
      <c r="P23" s="29"/>
      <c r="Q23" s="29">
        <f t="shared" si="1"/>
        <v>0</v>
      </c>
      <c r="R23" s="29"/>
      <c r="S23" s="29">
        <f t="shared" si="2"/>
        <v>0</v>
      </c>
      <c r="T23" s="32" t="str">
        <f t="shared" si="3"/>
        <v/>
      </c>
      <c r="U23" s="597" t="str">
        <f t="shared" si="4"/>
        <v/>
      </c>
      <c r="V23" s="30"/>
      <c r="W23" s="29">
        <f t="shared" si="5"/>
        <v>0</v>
      </c>
      <c r="X23" s="33"/>
      <c r="Z23" s="21"/>
      <c r="AA23" s="22"/>
      <c r="AB23" s="29"/>
      <c r="AC23" s="34"/>
      <c r="AF23" s="29"/>
    </row>
    <row r="24" spans="3:32" ht="12" customHeight="1">
      <c r="C24" s="24" t="s">
        <v>952</v>
      </c>
      <c r="D24" s="24" t="s">
        <v>31</v>
      </c>
      <c r="E24" s="28" t="s">
        <v>32</v>
      </c>
      <c r="F24" s="29">
        <f>IFERROR(ROUND(VLOOKUP($E$4,'Outturn 2024-25'!$A:$DW,17,FALSE),2),0)</f>
        <v>0</v>
      </c>
      <c r="G24" s="30"/>
      <c r="H24" s="30"/>
      <c r="I24" s="173">
        <f t="shared" si="0"/>
        <v>0</v>
      </c>
      <c r="J24" s="29"/>
      <c r="K24" s="30"/>
      <c r="L24" s="29">
        <f t="shared" si="6"/>
        <v>0</v>
      </c>
      <c r="M24" s="29">
        <v>0</v>
      </c>
      <c r="N24" s="31"/>
      <c r="O24" s="31"/>
      <c r="P24" s="29">
        <v>0</v>
      </c>
      <c r="Q24" s="29">
        <f t="shared" si="1"/>
        <v>0</v>
      </c>
      <c r="R24" s="29"/>
      <c r="S24" s="29">
        <f t="shared" si="2"/>
        <v>0</v>
      </c>
      <c r="T24" s="32" t="str">
        <f t="shared" si="3"/>
        <v/>
      </c>
      <c r="U24" s="597" t="str">
        <f t="shared" si="4"/>
        <v/>
      </c>
      <c r="V24" s="30"/>
      <c r="W24" s="29">
        <f t="shared" si="5"/>
        <v>0</v>
      </c>
      <c r="X24" s="33"/>
      <c r="Z24" s="21"/>
      <c r="AA24" s="22"/>
      <c r="AB24" s="29"/>
      <c r="AC24" s="34"/>
      <c r="AF24" s="29">
        <v>0</v>
      </c>
    </row>
    <row r="25" spans="3:32" ht="12" customHeight="1">
      <c r="C25" s="24" t="s">
        <v>953</v>
      </c>
      <c r="D25" s="24" t="s">
        <v>33</v>
      </c>
      <c r="E25" s="28" t="s">
        <v>34</v>
      </c>
      <c r="F25" s="29">
        <f>IFERROR(ROUND(VLOOKUP($E$4,'Outturn 2024-25'!$A:$DW,18,FALSE),2),0)</f>
        <v>0</v>
      </c>
      <c r="G25" s="30"/>
      <c r="H25" s="30"/>
      <c r="I25" s="173">
        <f t="shared" si="0"/>
        <v>0</v>
      </c>
      <c r="J25" s="29"/>
      <c r="K25" s="30"/>
      <c r="L25" s="29">
        <f t="shared" si="6"/>
        <v>0</v>
      </c>
      <c r="M25" s="29">
        <v>0</v>
      </c>
      <c r="N25" s="31"/>
      <c r="O25" s="31"/>
      <c r="P25" s="29">
        <v>0</v>
      </c>
      <c r="Q25" s="29">
        <f t="shared" si="1"/>
        <v>0</v>
      </c>
      <c r="R25" s="29"/>
      <c r="S25" s="29">
        <f t="shared" si="2"/>
        <v>0</v>
      </c>
      <c r="T25" s="32" t="str">
        <f t="shared" si="3"/>
        <v/>
      </c>
      <c r="U25" s="597" t="str">
        <f t="shared" si="4"/>
        <v/>
      </c>
      <c r="V25" s="30"/>
      <c r="W25" s="29">
        <f t="shared" si="5"/>
        <v>0</v>
      </c>
      <c r="X25" s="33"/>
      <c r="Z25" s="21"/>
      <c r="AA25" s="22"/>
      <c r="AB25" s="29"/>
      <c r="AC25" s="34"/>
      <c r="AF25" s="29">
        <v>0</v>
      </c>
    </row>
    <row r="26" spans="3:32" ht="12" customHeight="1">
      <c r="C26" s="24" t="s">
        <v>954</v>
      </c>
      <c r="D26" s="24" t="s">
        <v>35</v>
      </c>
      <c r="E26" s="28" t="s">
        <v>36</v>
      </c>
      <c r="F26" s="29">
        <f>IFERROR(ROUND(VLOOKUP($E$4,'Outturn 2024-25'!$A:$DW,19,FALSE),2),0)</f>
        <v>0</v>
      </c>
      <c r="G26" s="30"/>
      <c r="H26" s="30"/>
      <c r="I26" s="173">
        <f t="shared" si="0"/>
        <v>0</v>
      </c>
      <c r="J26" s="29"/>
      <c r="K26" s="30"/>
      <c r="L26" s="29">
        <f t="shared" si="6"/>
        <v>0</v>
      </c>
      <c r="M26" s="29">
        <v>0</v>
      </c>
      <c r="N26" s="31"/>
      <c r="O26" s="31"/>
      <c r="P26" s="29">
        <v>0</v>
      </c>
      <c r="Q26" s="29">
        <f t="shared" si="1"/>
        <v>0</v>
      </c>
      <c r="R26" s="29"/>
      <c r="S26" s="29">
        <f t="shared" si="2"/>
        <v>0</v>
      </c>
      <c r="T26" s="32" t="str">
        <f t="shared" si="3"/>
        <v/>
      </c>
      <c r="U26" s="597" t="str">
        <f t="shared" si="4"/>
        <v/>
      </c>
      <c r="V26" s="30"/>
      <c r="W26" s="29">
        <f t="shared" si="5"/>
        <v>0</v>
      </c>
      <c r="X26" s="33"/>
      <c r="Z26" s="21"/>
      <c r="AA26" s="22"/>
      <c r="AB26" s="29"/>
      <c r="AC26" s="34"/>
      <c r="AF26" s="29">
        <v>0</v>
      </c>
    </row>
    <row r="27" spans="3:32" ht="12" customHeight="1">
      <c r="C27" s="24" t="s">
        <v>955</v>
      </c>
      <c r="D27" s="24" t="s">
        <v>37</v>
      </c>
      <c r="E27" s="28" t="s">
        <v>38</v>
      </c>
      <c r="F27" s="29">
        <f>IFERROR(ROUND(VLOOKUP($E$4,'Outturn 2024-25'!$A:$DW,20,FALSE),2),0)</f>
        <v>0</v>
      </c>
      <c r="G27" s="30"/>
      <c r="H27" s="30"/>
      <c r="I27" s="173">
        <f t="shared" si="0"/>
        <v>0</v>
      </c>
      <c r="J27" s="29"/>
      <c r="K27" s="30"/>
      <c r="L27" s="29">
        <f t="shared" si="6"/>
        <v>0</v>
      </c>
      <c r="M27" s="29">
        <v>0</v>
      </c>
      <c r="N27" s="31"/>
      <c r="O27" s="31"/>
      <c r="P27" s="29">
        <v>0</v>
      </c>
      <c r="Q27" s="29">
        <f t="shared" si="1"/>
        <v>0</v>
      </c>
      <c r="R27" s="29"/>
      <c r="S27" s="29">
        <f t="shared" si="2"/>
        <v>0</v>
      </c>
      <c r="T27" s="32" t="str">
        <f t="shared" si="3"/>
        <v/>
      </c>
      <c r="U27" s="597" t="str">
        <f t="shared" si="4"/>
        <v/>
      </c>
      <c r="V27" s="30"/>
      <c r="W27" s="29">
        <f t="shared" si="5"/>
        <v>0</v>
      </c>
      <c r="X27" s="33"/>
      <c r="Z27" s="21"/>
      <c r="AA27" s="22"/>
      <c r="AB27" s="29"/>
      <c r="AC27" s="34"/>
      <c r="AF27" s="29">
        <v>0</v>
      </c>
    </row>
    <row r="28" spans="3:32" ht="12" customHeight="1">
      <c r="C28" s="24" t="s">
        <v>956</v>
      </c>
      <c r="D28" s="24" t="s">
        <v>39</v>
      </c>
      <c r="E28" s="28" t="s">
        <v>40</v>
      </c>
      <c r="F28" s="29">
        <f>IFERROR(ROUND(VLOOKUP($E$4,'Outturn 2024-25'!$A:$DW,21,FALSE),2),0)</f>
        <v>0</v>
      </c>
      <c r="G28" s="30"/>
      <c r="H28" s="30"/>
      <c r="I28" s="173">
        <f t="shared" si="0"/>
        <v>0</v>
      </c>
      <c r="J28" s="29"/>
      <c r="K28" s="30"/>
      <c r="L28" s="29">
        <f t="shared" si="6"/>
        <v>0</v>
      </c>
      <c r="M28" s="29">
        <v>0</v>
      </c>
      <c r="N28" s="31"/>
      <c r="O28" s="31"/>
      <c r="P28" s="29">
        <v>0</v>
      </c>
      <c r="Q28" s="29">
        <f t="shared" si="1"/>
        <v>0</v>
      </c>
      <c r="R28" s="29"/>
      <c r="S28" s="29">
        <f t="shared" si="2"/>
        <v>0</v>
      </c>
      <c r="T28" s="32" t="str">
        <f t="shared" si="3"/>
        <v/>
      </c>
      <c r="U28" s="597" t="str">
        <f t="shared" si="4"/>
        <v/>
      </c>
      <c r="V28" s="30"/>
      <c r="W28" s="29">
        <f t="shared" si="5"/>
        <v>0</v>
      </c>
      <c r="X28" s="33"/>
      <c r="Z28" s="21"/>
      <c r="AA28" s="22"/>
      <c r="AB28" s="29"/>
      <c r="AC28" s="34"/>
      <c r="AF28" s="29">
        <v>0</v>
      </c>
    </row>
    <row r="29" spans="3:32" ht="12" customHeight="1">
      <c r="C29" s="24" t="s">
        <v>957</v>
      </c>
      <c r="D29" s="24" t="s">
        <v>41</v>
      </c>
      <c r="E29" s="28" t="s">
        <v>42</v>
      </c>
      <c r="F29" s="29">
        <f>IFERROR(ROUND(VLOOKUP($E$4,'Outturn 2024-25'!$A:$DW,22,FALSE),2),0)</f>
        <v>0</v>
      </c>
      <c r="G29" s="30"/>
      <c r="H29" s="30"/>
      <c r="I29" s="173">
        <f t="shared" si="0"/>
        <v>0</v>
      </c>
      <c r="J29" s="29"/>
      <c r="K29" s="30"/>
      <c r="L29" s="29">
        <f t="shared" si="6"/>
        <v>0</v>
      </c>
      <c r="M29" s="29">
        <v>0</v>
      </c>
      <c r="N29" s="31"/>
      <c r="O29" s="31"/>
      <c r="P29" s="29">
        <v>0</v>
      </c>
      <c r="Q29" s="29">
        <f t="shared" si="1"/>
        <v>0</v>
      </c>
      <c r="R29" s="29"/>
      <c r="S29" s="29">
        <f t="shared" si="2"/>
        <v>0</v>
      </c>
      <c r="T29" s="32" t="str">
        <f t="shared" si="3"/>
        <v/>
      </c>
      <c r="U29" s="597" t="str">
        <f t="shared" si="4"/>
        <v/>
      </c>
      <c r="V29" s="30"/>
      <c r="W29" s="29">
        <f t="shared" si="5"/>
        <v>0</v>
      </c>
      <c r="X29" s="33"/>
      <c r="Z29" s="21"/>
      <c r="AA29" s="22"/>
      <c r="AB29" s="29"/>
      <c r="AC29" s="34"/>
      <c r="AF29" s="29">
        <v>0</v>
      </c>
    </row>
    <row r="30" spans="3:32">
      <c r="D30" s="697" t="s">
        <v>43</v>
      </c>
      <c r="E30" s="698"/>
      <c r="F30" s="18">
        <f>SUM(F15:F29)</f>
        <v>0</v>
      </c>
      <c r="G30" s="174">
        <f t="shared" ref="G30:Q30" si="7">SUM(G15:G29)</f>
        <v>0</v>
      </c>
      <c r="H30" s="18">
        <f t="shared" si="7"/>
        <v>0</v>
      </c>
      <c r="I30" s="18">
        <f t="shared" si="7"/>
        <v>0</v>
      </c>
      <c r="J30" s="18">
        <f t="shared" si="7"/>
        <v>0</v>
      </c>
      <c r="K30" s="18">
        <f t="shared" si="7"/>
        <v>0</v>
      </c>
      <c r="L30" s="18">
        <f t="shared" si="7"/>
        <v>0</v>
      </c>
      <c r="M30" s="18">
        <f t="shared" si="7"/>
        <v>0</v>
      </c>
      <c r="N30" s="18">
        <f t="shared" si="7"/>
        <v>0</v>
      </c>
      <c r="O30" s="18">
        <f t="shared" si="7"/>
        <v>0</v>
      </c>
      <c r="P30" s="18">
        <f t="shared" si="7"/>
        <v>0</v>
      </c>
      <c r="Q30" s="18">
        <f t="shared" si="7"/>
        <v>0</v>
      </c>
      <c r="R30" s="18"/>
      <c r="S30" s="18">
        <f>SUM(S15:S29)</f>
        <v>0</v>
      </c>
      <c r="T30" s="18"/>
      <c r="U30" s="598"/>
      <c r="V30" s="18">
        <f>SUM(V15:V29)</f>
        <v>0</v>
      </c>
      <c r="W30" s="18">
        <f>SUM(W15:W29)</f>
        <v>0</v>
      </c>
      <c r="X30" s="20"/>
      <c r="AA30" s="22"/>
      <c r="AB30" s="18">
        <v>0</v>
      </c>
      <c r="AC30" s="23"/>
      <c r="AF30" s="18">
        <v>0</v>
      </c>
    </row>
    <row r="31" spans="3:32">
      <c r="D31" s="24"/>
      <c r="E31" s="25" t="s">
        <v>44</v>
      </c>
      <c r="F31" s="36"/>
      <c r="G31" s="175"/>
      <c r="H31" s="36"/>
      <c r="I31" s="36"/>
      <c r="J31" s="36"/>
      <c r="K31" s="36"/>
      <c r="L31" s="36"/>
      <c r="M31" s="36"/>
      <c r="N31" s="36"/>
      <c r="O31" s="36"/>
      <c r="P31" s="36"/>
      <c r="Q31" s="36"/>
      <c r="R31" s="36"/>
      <c r="S31" s="36"/>
      <c r="T31" s="36"/>
      <c r="U31" s="599"/>
      <c r="V31" s="36"/>
      <c r="W31" s="36"/>
      <c r="X31" s="36"/>
      <c r="AA31" s="22"/>
      <c r="AB31" s="36"/>
      <c r="AC31" s="37"/>
      <c r="AF31" s="36"/>
    </row>
    <row r="32" spans="3:32" ht="12" customHeight="1">
      <c r="C32" s="24" t="s">
        <v>883</v>
      </c>
      <c r="D32" s="24" t="s">
        <v>45</v>
      </c>
      <c r="E32" s="28" t="s">
        <v>46</v>
      </c>
      <c r="F32" s="29">
        <f>IFERROR(ROUND(VLOOKUP($E$4,'Outturn 2024-25'!$A:$DW,26,FALSE),2),0)</f>
        <v>0</v>
      </c>
      <c r="G32" s="30"/>
      <c r="H32" s="30"/>
      <c r="I32" s="173">
        <f t="shared" ref="I32:I68" si="8">G32+H32</f>
        <v>0</v>
      </c>
      <c r="J32" s="29"/>
      <c r="K32" s="30"/>
      <c r="L32" s="29">
        <f>J32+K32</f>
        <v>0</v>
      </c>
      <c r="M32" s="31"/>
      <c r="N32" s="29">
        <v>0</v>
      </c>
      <c r="O32" s="29">
        <v>0</v>
      </c>
      <c r="P32" s="31"/>
      <c r="Q32" s="29">
        <f>O32+N32</f>
        <v>0</v>
      </c>
      <c r="R32" s="29"/>
      <c r="S32" s="29">
        <f t="shared" ref="S32:S68" si="9">L32+Q32</f>
        <v>0</v>
      </c>
      <c r="T32" s="32" t="str">
        <f t="shared" ref="T32:T68" si="10">IFERROR((S32/G32),"")</f>
        <v/>
      </c>
      <c r="U32" s="597" t="str">
        <f t="shared" ref="U32:U57" si="11">IFERROR(+S32/$S$69,"")</f>
        <v/>
      </c>
      <c r="V32" s="30"/>
      <c r="W32" s="29">
        <f t="shared" ref="W32:W68" si="12">I32-V32</f>
        <v>0</v>
      </c>
      <c r="X32" s="38"/>
      <c r="Z32" s="21"/>
      <c r="AA32" s="22"/>
      <c r="AB32" s="29"/>
      <c r="AC32" s="34"/>
      <c r="AF32" s="29">
        <v>0</v>
      </c>
    </row>
    <row r="33" spans="3:32" ht="12" customHeight="1">
      <c r="C33" s="24" t="s">
        <v>884</v>
      </c>
      <c r="D33" s="24" t="s">
        <v>47</v>
      </c>
      <c r="E33" s="28" t="s">
        <v>48</v>
      </c>
      <c r="F33" s="29">
        <f>IFERROR(ROUND(VLOOKUP($E$4,'Outturn 2024-25'!$A:$DW,27,FALSE),2),0)</f>
        <v>0</v>
      </c>
      <c r="G33" s="30"/>
      <c r="H33" s="30"/>
      <c r="I33" s="173">
        <f t="shared" si="8"/>
        <v>0</v>
      </c>
      <c r="J33" s="29"/>
      <c r="K33" s="30"/>
      <c r="L33" s="29">
        <f t="shared" ref="L33:L68" si="13">J33+K33</f>
        <v>0</v>
      </c>
      <c r="M33" s="31"/>
      <c r="N33" s="29">
        <v>0</v>
      </c>
      <c r="O33" s="29">
        <v>0</v>
      </c>
      <c r="P33" s="31"/>
      <c r="Q33" s="29">
        <f t="shared" ref="Q33:Q68" si="14">O33+N33</f>
        <v>0</v>
      </c>
      <c r="R33" s="29"/>
      <c r="S33" s="29">
        <f t="shared" si="9"/>
        <v>0</v>
      </c>
      <c r="T33" s="32" t="str">
        <f t="shared" si="10"/>
        <v/>
      </c>
      <c r="U33" s="597" t="str">
        <f t="shared" si="11"/>
        <v/>
      </c>
      <c r="V33" s="30"/>
      <c r="W33" s="29">
        <f t="shared" si="12"/>
        <v>0</v>
      </c>
      <c r="X33" s="38"/>
      <c r="Z33" s="21"/>
      <c r="AA33" s="22"/>
      <c r="AB33" s="39"/>
      <c r="AC33" s="34"/>
      <c r="AF33" s="29">
        <v>0</v>
      </c>
    </row>
    <row r="34" spans="3:32" ht="12" customHeight="1">
      <c r="C34" s="24" t="s">
        <v>888</v>
      </c>
      <c r="D34" s="24" t="s">
        <v>49</v>
      </c>
      <c r="E34" s="28" t="s">
        <v>50</v>
      </c>
      <c r="F34" s="29">
        <f>IFERROR(ROUND(VLOOKUP($E$4,'Outturn 2024-25'!$A:$DW,28,FALSE),2),0)</f>
        <v>0</v>
      </c>
      <c r="G34" s="30"/>
      <c r="H34" s="30"/>
      <c r="I34" s="173">
        <f t="shared" si="8"/>
        <v>0</v>
      </c>
      <c r="J34" s="29"/>
      <c r="K34" s="30"/>
      <c r="L34" s="29">
        <f t="shared" si="13"/>
        <v>0</v>
      </c>
      <c r="M34" s="31"/>
      <c r="N34" s="29">
        <v>0</v>
      </c>
      <c r="O34" s="29">
        <v>0</v>
      </c>
      <c r="P34" s="31"/>
      <c r="Q34" s="29">
        <f t="shared" si="14"/>
        <v>0</v>
      </c>
      <c r="R34" s="29"/>
      <c r="S34" s="29">
        <f t="shared" si="9"/>
        <v>0</v>
      </c>
      <c r="T34" s="32" t="str">
        <f t="shared" si="10"/>
        <v/>
      </c>
      <c r="U34" s="597" t="str">
        <f t="shared" si="11"/>
        <v/>
      </c>
      <c r="V34" s="30"/>
      <c r="W34" s="29">
        <f t="shared" si="12"/>
        <v>0</v>
      </c>
      <c r="X34" s="38"/>
      <c r="Z34" s="21"/>
      <c r="AA34" s="22"/>
      <c r="AB34" s="29"/>
      <c r="AC34" s="34"/>
      <c r="AF34" s="29">
        <v>0</v>
      </c>
    </row>
    <row r="35" spans="3:32" ht="12" customHeight="1">
      <c r="C35" s="24" t="s">
        <v>892</v>
      </c>
      <c r="D35" s="24" t="s">
        <v>51</v>
      </c>
      <c r="E35" s="28" t="s">
        <v>52</v>
      </c>
      <c r="F35" s="29">
        <f>IFERROR(ROUND(VLOOKUP($E$4,'Outturn 2024-25'!$A:$DW,29,FALSE),2),0)</f>
        <v>0</v>
      </c>
      <c r="G35" s="30"/>
      <c r="H35" s="30"/>
      <c r="I35" s="173">
        <f t="shared" si="8"/>
        <v>0</v>
      </c>
      <c r="J35" s="29"/>
      <c r="K35" s="30"/>
      <c r="L35" s="29">
        <f t="shared" si="13"/>
        <v>0</v>
      </c>
      <c r="M35" s="31"/>
      <c r="N35" s="29">
        <v>0</v>
      </c>
      <c r="O35" s="29">
        <v>0</v>
      </c>
      <c r="P35" s="31"/>
      <c r="Q35" s="29">
        <f t="shared" si="14"/>
        <v>0</v>
      </c>
      <c r="R35" s="29"/>
      <c r="S35" s="29">
        <f t="shared" si="9"/>
        <v>0</v>
      </c>
      <c r="T35" s="32" t="str">
        <f t="shared" si="10"/>
        <v/>
      </c>
      <c r="U35" s="597" t="str">
        <f t="shared" si="11"/>
        <v/>
      </c>
      <c r="V35" s="30"/>
      <c r="W35" s="29">
        <f t="shared" si="12"/>
        <v>0</v>
      </c>
      <c r="X35" s="38"/>
      <c r="Z35" s="21"/>
      <c r="AA35" s="22"/>
      <c r="AB35" s="29"/>
      <c r="AC35" s="34"/>
      <c r="AF35" s="29">
        <v>0</v>
      </c>
    </row>
    <row r="36" spans="3:32" ht="12" customHeight="1">
      <c r="C36" s="24" t="s">
        <v>893</v>
      </c>
      <c r="D36" s="24" t="s">
        <v>53</v>
      </c>
      <c r="E36" s="28" t="s">
        <v>54</v>
      </c>
      <c r="F36" s="29">
        <f>IFERROR(ROUND(VLOOKUP($E$4,'Outturn 2024-25'!$A:$DW,30,FALSE),2),0)</f>
        <v>0</v>
      </c>
      <c r="G36" s="30"/>
      <c r="H36" s="30"/>
      <c r="I36" s="173">
        <f t="shared" si="8"/>
        <v>0</v>
      </c>
      <c r="J36" s="29"/>
      <c r="K36" s="30"/>
      <c r="L36" s="29">
        <f t="shared" si="13"/>
        <v>0</v>
      </c>
      <c r="M36" s="31"/>
      <c r="N36" s="29">
        <v>0</v>
      </c>
      <c r="O36" s="29">
        <v>0</v>
      </c>
      <c r="P36" s="31"/>
      <c r="Q36" s="29">
        <f t="shared" si="14"/>
        <v>0</v>
      </c>
      <c r="R36" s="29"/>
      <c r="S36" s="29">
        <f t="shared" si="9"/>
        <v>0</v>
      </c>
      <c r="T36" s="32" t="str">
        <f t="shared" si="10"/>
        <v/>
      </c>
      <c r="U36" s="597" t="str">
        <f t="shared" si="11"/>
        <v/>
      </c>
      <c r="V36" s="30"/>
      <c r="W36" s="29">
        <f t="shared" si="12"/>
        <v>0</v>
      </c>
      <c r="X36" s="38"/>
      <c r="Z36" s="21"/>
      <c r="AA36" s="22"/>
      <c r="AB36" s="29"/>
      <c r="AC36" s="34"/>
      <c r="AF36" s="29">
        <v>0</v>
      </c>
    </row>
    <row r="37" spans="3:32" ht="12" customHeight="1">
      <c r="C37" s="24" t="s">
        <v>894</v>
      </c>
      <c r="D37" s="24" t="s">
        <v>55</v>
      </c>
      <c r="E37" s="28" t="s">
        <v>56</v>
      </c>
      <c r="F37" s="29">
        <f>IFERROR(ROUND(VLOOKUP($E$4,'Outturn 2024-25'!$A:$DW,31,FALSE),2),0)</f>
        <v>0</v>
      </c>
      <c r="G37" s="30"/>
      <c r="H37" s="30"/>
      <c r="I37" s="173">
        <f t="shared" si="8"/>
        <v>0</v>
      </c>
      <c r="J37" s="29"/>
      <c r="K37" s="30"/>
      <c r="L37" s="29">
        <f t="shared" si="13"/>
        <v>0</v>
      </c>
      <c r="M37" s="31"/>
      <c r="N37" s="29">
        <v>0</v>
      </c>
      <c r="O37" s="29">
        <v>0</v>
      </c>
      <c r="P37" s="31"/>
      <c r="Q37" s="29">
        <f t="shared" si="14"/>
        <v>0</v>
      </c>
      <c r="R37" s="29"/>
      <c r="S37" s="29">
        <f t="shared" si="9"/>
        <v>0</v>
      </c>
      <c r="T37" s="32" t="str">
        <f t="shared" si="10"/>
        <v/>
      </c>
      <c r="U37" s="597" t="str">
        <f t="shared" si="11"/>
        <v/>
      </c>
      <c r="V37" s="30"/>
      <c r="W37" s="29">
        <f t="shared" si="12"/>
        <v>0</v>
      </c>
      <c r="X37" s="38"/>
      <c r="Z37" s="21"/>
      <c r="AA37" s="22"/>
      <c r="AB37" s="29"/>
      <c r="AC37" s="34"/>
      <c r="AF37" s="29">
        <v>0</v>
      </c>
    </row>
    <row r="38" spans="3:32" ht="12" customHeight="1">
      <c r="C38" s="24" t="s">
        <v>895</v>
      </c>
      <c r="D38" s="24" t="s">
        <v>57</v>
      </c>
      <c r="E38" s="28" t="s">
        <v>58</v>
      </c>
      <c r="F38" s="29">
        <f>IFERROR(ROUND(VLOOKUP($E$4,'Outturn 2024-25'!$A:$DW,32,FALSE),2),0)</f>
        <v>0</v>
      </c>
      <c r="G38" s="30"/>
      <c r="H38" s="30"/>
      <c r="I38" s="173">
        <f t="shared" si="8"/>
        <v>0</v>
      </c>
      <c r="J38" s="29"/>
      <c r="K38" s="30"/>
      <c r="L38" s="29">
        <f t="shared" si="13"/>
        <v>0</v>
      </c>
      <c r="M38" s="31"/>
      <c r="N38" s="29">
        <v>0</v>
      </c>
      <c r="O38" s="29">
        <v>0</v>
      </c>
      <c r="P38" s="31"/>
      <c r="Q38" s="29">
        <f t="shared" si="14"/>
        <v>0</v>
      </c>
      <c r="R38" s="29"/>
      <c r="S38" s="29">
        <f t="shared" si="9"/>
        <v>0</v>
      </c>
      <c r="T38" s="32" t="str">
        <f t="shared" si="10"/>
        <v/>
      </c>
      <c r="U38" s="597" t="str">
        <f t="shared" si="11"/>
        <v/>
      </c>
      <c r="V38" s="30"/>
      <c r="W38" s="29">
        <f t="shared" si="12"/>
        <v>0</v>
      </c>
      <c r="X38" s="38"/>
      <c r="Z38" s="21"/>
      <c r="AA38" s="22"/>
      <c r="AB38" s="29"/>
      <c r="AC38" s="34"/>
      <c r="AF38" s="29">
        <v>0</v>
      </c>
    </row>
    <row r="39" spans="3:32" ht="12" customHeight="1">
      <c r="C39" s="24" t="s">
        <v>899</v>
      </c>
      <c r="D39" s="24" t="s">
        <v>59</v>
      </c>
      <c r="E39" s="28" t="s">
        <v>60</v>
      </c>
      <c r="F39" s="29">
        <f>IFERROR(ROUND(VLOOKUP($E$4,'Outturn 2024-25'!$A:$DW,33,FALSE),2),0)</f>
        <v>0</v>
      </c>
      <c r="G39" s="30"/>
      <c r="H39" s="30"/>
      <c r="I39" s="173">
        <f t="shared" si="8"/>
        <v>0</v>
      </c>
      <c r="J39" s="29"/>
      <c r="K39" s="30"/>
      <c r="L39" s="29">
        <f t="shared" si="13"/>
        <v>0</v>
      </c>
      <c r="M39" s="31"/>
      <c r="N39" s="29">
        <v>0</v>
      </c>
      <c r="O39" s="29">
        <v>0</v>
      </c>
      <c r="P39" s="31"/>
      <c r="Q39" s="29">
        <f t="shared" si="14"/>
        <v>0</v>
      </c>
      <c r="R39" s="29"/>
      <c r="S39" s="29">
        <f t="shared" si="9"/>
        <v>0</v>
      </c>
      <c r="T39" s="32" t="str">
        <f t="shared" si="10"/>
        <v/>
      </c>
      <c r="U39" s="597" t="str">
        <f t="shared" si="11"/>
        <v/>
      </c>
      <c r="V39" s="30"/>
      <c r="W39" s="29">
        <f t="shared" si="12"/>
        <v>0</v>
      </c>
      <c r="X39" s="38"/>
      <c r="Z39" s="21"/>
      <c r="AA39" s="22"/>
      <c r="AB39" s="29"/>
      <c r="AC39" s="34"/>
      <c r="AF39" s="29">
        <v>0</v>
      </c>
    </row>
    <row r="40" spans="3:32" ht="12" customHeight="1">
      <c r="C40" s="24" t="s">
        <v>900</v>
      </c>
      <c r="D40" s="24" t="s">
        <v>61</v>
      </c>
      <c r="E40" s="28" t="s">
        <v>62</v>
      </c>
      <c r="F40" s="29">
        <f>IFERROR(ROUND(VLOOKUP($E$4,'Outturn 2024-25'!$A:$DW,34,FALSE),2),0)</f>
        <v>0</v>
      </c>
      <c r="G40" s="30"/>
      <c r="H40" s="30"/>
      <c r="I40" s="173">
        <f t="shared" si="8"/>
        <v>0</v>
      </c>
      <c r="J40" s="29"/>
      <c r="K40" s="30"/>
      <c r="L40" s="29">
        <f t="shared" si="13"/>
        <v>0</v>
      </c>
      <c r="M40" s="31"/>
      <c r="N40" s="29">
        <v>0</v>
      </c>
      <c r="O40" s="29">
        <v>0</v>
      </c>
      <c r="P40" s="31"/>
      <c r="Q40" s="29">
        <f t="shared" si="14"/>
        <v>0</v>
      </c>
      <c r="R40" s="29"/>
      <c r="S40" s="29">
        <f t="shared" si="9"/>
        <v>0</v>
      </c>
      <c r="T40" s="32" t="str">
        <f t="shared" si="10"/>
        <v/>
      </c>
      <c r="U40" s="597" t="str">
        <f t="shared" si="11"/>
        <v/>
      </c>
      <c r="V40" s="30"/>
      <c r="W40" s="29">
        <f t="shared" si="12"/>
        <v>0</v>
      </c>
      <c r="X40" s="38"/>
      <c r="Z40" s="21"/>
      <c r="AA40" s="22"/>
      <c r="AB40" s="29"/>
      <c r="AC40" s="34"/>
      <c r="AF40" s="29">
        <v>0</v>
      </c>
    </row>
    <row r="41" spans="3:32" ht="12" customHeight="1">
      <c r="C41" s="24" t="s">
        <v>901</v>
      </c>
      <c r="D41" s="24" t="s">
        <v>63</v>
      </c>
      <c r="E41" s="28" t="s">
        <v>64</v>
      </c>
      <c r="F41" s="29">
        <f>IFERROR(ROUND(VLOOKUP($E$4,'Outturn 2024-25'!$A:$DW,35,FALSE),2),0)</f>
        <v>0</v>
      </c>
      <c r="G41" s="30"/>
      <c r="H41" s="30"/>
      <c r="I41" s="173">
        <f t="shared" si="8"/>
        <v>0</v>
      </c>
      <c r="J41" s="29"/>
      <c r="K41" s="30"/>
      <c r="L41" s="29">
        <f t="shared" si="13"/>
        <v>0</v>
      </c>
      <c r="M41" s="31"/>
      <c r="N41" s="29">
        <v>0</v>
      </c>
      <c r="O41" s="29">
        <v>0</v>
      </c>
      <c r="P41" s="31"/>
      <c r="Q41" s="29">
        <f t="shared" si="14"/>
        <v>0</v>
      </c>
      <c r="R41" s="29"/>
      <c r="S41" s="29">
        <f t="shared" si="9"/>
        <v>0</v>
      </c>
      <c r="T41" s="32" t="str">
        <f t="shared" si="10"/>
        <v/>
      </c>
      <c r="U41" s="597" t="str">
        <f t="shared" si="11"/>
        <v/>
      </c>
      <c r="V41" s="30"/>
      <c r="W41" s="29">
        <f t="shared" si="12"/>
        <v>0</v>
      </c>
      <c r="X41" s="38"/>
      <c r="Z41" s="21"/>
      <c r="AA41" s="22"/>
      <c r="AB41" s="29"/>
      <c r="AC41" s="34"/>
      <c r="AF41" s="29">
        <v>0</v>
      </c>
    </row>
    <row r="42" spans="3:32" ht="12" customHeight="1">
      <c r="C42" s="24" t="s">
        <v>902</v>
      </c>
      <c r="D42" s="24" t="s">
        <v>65</v>
      </c>
      <c r="E42" s="28" t="s">
        <v>66</v>
      </c>
      <c r="F42" s="29">
        <f>IFERROR(ROUND(VLOOKUP($E$4,'Outturn 2024-25'!$A:$DW,36,FALSE),2),0)</f>
        <v>0</v>
      </c>
      <c r="G42" s="30"/>
      <c r="H42" s="30"/>
      <c r="I42" s="173">
        <f t="shared" si="8"/>
        <v>0</v>
      </c>
      <c r="J42" s="29"/>
      <c r="K42" s="30"/>
      <c r="L42" s="29">
        <f t="shared" si="13"/>
        <v>0</v>
      </c>
      <c r="M42" s="31"/>
      <c r="N42" s="29">
        <v>0</v>
      </c>
      <c r="O42" s="29">
        <v>0</v>
      </c>
      <c r="P42" s="31"/>
      <c r="Q42" s="29">
        <f t="shared" si="14"/>
        <v>0</v>
      </c>
      <c r="R42" s="29"/>
      <c r="S42" s="29">
        <f t="shared" si="9"/>
        <v>0</v>
      </c>
      <c r="T42" s="32" t="str">
        <f t="shared" si="10"/>
        <v/>
      </c>
      <c r="U42" s="597" t="str">
        <f t="shared" si="11"/>
        <v/>
      </c>
      <c r="V42" s="30"/>
      <c r="W42" s="29">
        <f t="shared" si="12"/>
        <v>0</v>
      </c>
      <c r="X42" s="38"/>
      <c r="Z42" s="21"/>
      <c r="AA42" s="22"/>
      <c r="AB42" s="29"/>
      <c r="AC42" s="34"/>
      <c r="AF42" s="29">
        <v>0</v>
      </c>
    </row>
    <row r="43" spans="3:32" ht="12" customHeight="1">
      <c r="C43" s="24" t="s">
        <v>905</v>
      </c>
      <c r="D43" s="24" t="s">
        <v>67</v>
      </c>
      <c r="E43" s="28" t="s">
        <v>68</v>
      </c>
      <c r="F43" s="29">
        <f>IFERROR(ROUND(VLOOKUP($E$4,'Outturn 2024-25'!$A:$DW,37,FALSE),2),0)</f>
        <v>0</v>
      </c>
      <c r="G43" s="30"/>
      <c r="H43" s="30"/>
      <c r="I43" s="173">
        <f t="shared" si="8"/>
        <v>0</v>
      </c>
      <c r="J43" s="29"/>
      <c r="K43" s="30"/>
      <c r="L43" s="29">
        <f t="shared" si="13"/>
        <v>0</v>
      </c>
      <c r="M43" s="31"/>
      <c r="N43" s="29">
        <v>0</v>
      </c>
      <c r="O43" s="29">
        <v>0</v>
      </c>
      <c r="P43" s="31"/>
      <c r="Q43" s="29">
        <f t="shared" si="14"/>
        <v>0</v>
      </c>
      <c r="R43" s="29"/>
      <c r="S43" s="29">
        <f t="shared" si="9"/>
        <v>0</v>
      </c>
      <c r="T43" s="32" t="str">
        <f t="shared" si="10"/>
        <v/>
      </c>
      <c r="U43" s="597" t="str">
        <f t="shared" si="11"/>
        <v/>
      </c>
      <c r="V43" s="30"/>
      <c r="W43" s="29">
        <f t="shared" si="12"/>
        <v>0</v>
      </c>
      <c r="X43" s="38"/>
      <c r="Z43" s="21"/>
      <c r="AA43" s="22"/>
      <c r="AB43" s="29"/>
      <c r="AC43" s="34"/>
      <c r="AF43" s="29">
        <v>0</v>
      </c>
    </row>
    <row r="44" spans="3:32" ht="12" customHeight="1">
      <c r="C44" s="24" t="s">
        <v>906</v>
      </c>
      <c r="D44" s="24" t="s">
        <v>69</v>
      </c>
      <c r="E44" s="28" t="s">
        <v>70</v>
      </c>
      <c r="F44" s="29">
        <f>IFERROR(ROUND(VLOOKUP($E$4,'Outturn 2024-25'!$A:$DW,38,FALSE),2),0)</f>
        <v>0</v>
      </c>
      <c r="G44" s="30"/>
      <c r="H44" s="30"/>
      <c r="I44" s="173">
        <f t="shared" si="8"/>
        <v>0</v>
      </c>
      <c r="J44" s="29"/>
      <c r="K44" s="30"/>
      <c r="L44" s="29">
        <f t="shared" si="13"/>
        <v>0</v>
      </c>
      <c r="M44" s="31"/>
      <c r="N44" s="29">
        <v>0</v>
      </c>
      <c r="O44" s="29">
        <v>0</v>
      </c>
      <c r="P44" s="31"/>
      <c r="Q44" s="29">
        <f t="shared" si="14"/>
        <v>0</v>
      </c>
      <c r="R44" s="29"/>
      <c r="S44" s="29">
        <f t="shared" si="9"/>
        <v>0</v>
      </c>
      <c r="T44" s="32" t="str">
        <f t="shared" si="10"/>
        <v/>
      </c>
      <c r="U44" s="597" t="str">
        <f t="shared" si="11"/>
        <v/>
      </c>
      <c r="V44" s="30"/>
      <c r="W44" s="29">
        <f t="shared" si="12"/>
        <v>0</v>
      </c>
      <c r="X44" s="38"/>
      <c r="Z44" s="21"/>
      <c r="AA44" s="22"/>
      <c r="AB44" s="29"/>
      <c r="AC44" s="34"/>
      <c r="AF44" s="29">
        <v>0</v>
      </c>
    </row>
    <row r="45" spans="3:32" ht="12" customHeight="1">
      <c r="C45" s="24" t="s">
        <v>907</v>
      </c>
      <c r="D45" s="24" t="s">
        <v>71</v>
      </c>
      <c r="E45" s="28" t="s">
        <v>72</v>
      </c>
      <c r="F45" s="29">
        <f>IFERROR(ROUND(VLOOKUP($E$4,'Outturn 2024-25'!$A:$DW,39,FALSE),2),0)</f>
        <v>0</v>
      </c>
      <c r="G45" s="30"/>
      <c r="H45" s="30"/>
      <c r="I45" s="173">
        <f t="shared" si="8"/>
        <v>0</v>
      </c>
      <c r="J45" s="29"/>
      <c r="K45" s="30"/>
      <c r="L45" s="29">
        <f t="shared" si="13"/>
        <v>0</v>
      </c>
      <c r="M45" s="31"/>
      <c r="N45" s="29">
        <v>0</v>
      </c>
      <c r="O45" s="29">
        <v>0</v>
      </c>
      <c r="P45" s="31"/>
      <c r="Q45" s="29">
        <f t="shared" si="14"/>
        <v>0</v>
      </c>
      <c r="R45" s="29"/>
      <c r="S45" s="29">
        <f t="shared" si="9"/>
        <v>0</v>
      </c>
      <c r="T45" s="32" t="str">
        <f t="shared" si="10"/>
        <v/>
      </c>
      <c r="U45" s="597" t="str">
        <f t="shared" si="11"/>
        <v/>
      </c>
      <c r="V45" s="30"/>
      <c r="W45" s="29">
        <f t="shared" si="12"/>
        <v>0</v>
      </c>
      <c r="X45" s="38"/>
      <c r="Z45" s="21"/>
      <c r="AA45" s="22"/>
      <c r="AB45" s="29"/>
      <c r="AC45" s="34"/>
      <c r="AF45" s="29">
        <v>0</v>
      </c>
    </row>
    <row r="46" spans="3:32" ht="12" customHeight="1">
      <c r="C46" s="24" t="s">
        <v>908</v>
      </c>
      <c r="D46" s="24" t="s">
        <v>73</v>
      </c>
      <c r="E46" s="28" t="s">
        <v>74</v>
      </c>
      <c r="F46" s="29">
        <f>IFERROR(ROUND(VLOOKUP($E$4,'Outturn 2024-25'!$A:$DW,40,FALSE),2),0)</f>
        <v>0</v>
      </c>
      <c r="G46" s="30"/>
      <c r="H46" s="30"/>
      <c r="I46" s="173">
        <f t="shared" si="8"/>
        <v>0</v>
      </c>
      <c r="J46" s="29"/>
      <c r="K46" s="30"/>
      <c r="L46" s="29">
        <f t="shared" si="13"/>
        <v>0</v>
      </c>
      <c r="M46" s="31"/>
      <c r="N46" s="29">
        <v>0</v>
      </c>
      <c r="O46" s="29">
        <v>0</v>
      </c>
      <c r="P46" s="31"/>
      <c r="Q46" s="29">
        <f t="shared" si="14"/>
        <v>0</v>
      </c>
      <c r="R46" s="29"/>
      <c r="S46" s="29">
        <f t="shared" si="9"/>
        <v>0</v>
      </c>
      <c r="T46" s="32" t="str">
        <f t="shared" si="10"/>
        <v/>
      </c>
      <c r="U46" s="597" t="str">
        <f t="shared" si="11"/>
        <v/>
      </c>
      <c r="V46" s="30"/>
      <c r="W46" s="29">
        <f t="shared" si="12"/>
        <v>0</v>
      </c>
      <c r="X46" s="38"/>
      <c r="Z46" s="21"/>
      <c r="AA46" s="22"/>
      <c r="AB46" s="29"/>
      <c r="AC46" s="34"/>
      <c r="AF46" s="29">
        <v>0</v>
      </c>
    </row>
    <row r="47" spans="3:32" ht="12" customHeight="1">
      <c r="C47" s="24" t="s">
        <v>909</v>
      </c>
      <c r="D47" s="24" t="s">
        <v>75</v>
      </c>
      <c r="E47" s="28" t="s">
        <v>76</v>
      </c>
      <c r="F47" s="29">
        <f>IFERROR(ROUND(VLOOKUP($E$4,'Outturn 2024-25'!$A:$DW,41,FALSE),2),0)</f>
        <v>0</v>
      </c>
      <c r="G47" s="30"/>
      <c r="H47" s="30"/>
      <c r="I47" s="173">
        <f t="shared" si="8"/>
        <v>0</v>
      </c>
      <c r="J47" s="29"/>
      <c r="K47" s="30"/>
      <c r="L47" s="29">
        <f t="shared" si="13"/>
        <v>0</v>
      </c>
      <c r="M47" s="31"/>
      <c r="N47" s="29">
        <v>0</v>
      </c>
      <c r="O47" s="29">
        <v>0</v>
      </c>
      <c r="P47" s="31"/>
      <c r="Q47" s="29">
        <f t="shared" si="14"/>
        <v>0</v>
      </c>
      <c r="R47" s="29"/>
      <c r="S47" s="29">
        <f t="shared" si="9"/>
        <v>0</v>
      </c>
      <c r="T47" s="32" t="str">
        <f t="shared" si="10"/>
        <v/>
      </c>
      <c r="U47" s="597" t="str">
        <f t="shared" si="11"/>
        <v/>
      </c>
      <c r="V47" s="30"/>
      <c r="W47" s="29">
        <f t="shared" si="12"/>
        <v>0</v>
      </c>
      <c r="X47" s="38"/>
      <c r="Z47" s="21"/>
      <c r="AA47" s="22"/>
      <c r="AB47" s="29"/>
      <c r="AC47" s="34"/>
      <c r="AF47" s="29">
        <v>0</v>
      </c>
    </row>
    <row r="48" spans="3:32" ht="12" customHeight="1">
      <c r="C48" s="24" t="s">
        <v>910</v>
      </c>
      <c r="D48" s="24" t="s">
        <v>77</v>
      </c>
      <c r="E48" s="28" t="s">
        <v>78</v>
      </c>
      <c r="F48" s="29">
        <f>IFERROR(ROUND(VLOOKUP($E$4,'Outturn 2024-25'!$A:$DW,42,FALSE),2),0)</f>
        <v>0</v>
      </c>
      <c r="G48" s="30"/>
      <c r="H48" s="30"/>
      <c r="I48" s="173">
        <f t="shared" si="8"/>
        <v>0</v>
      </c>
      <c r="J48" s="29">
        <f>-VLOOKUP($E$4,Payments!$A:$T,15,FALSE)</f>
        <v>0</v>
      </c>
      <c r="K48" s="30"/>
      <c r="L48" s="29">
        <f t="shared" si="13"/>
        <v>0</v>
      </c>
      <c r="M48" s="31"/>
      <c r="N48" s="29">
        <v>0</v>
      </c>
      <c r="O48" s="29">
        <v>0</v>
      </c>
      <c r="P48" s="31"/>
      <c r="Q48" s="29">
        <f t="shared" si="14"/>
        <v>0</v>
      </c>
      <c r="R48" s="29"/>
      <c r="S48" s="29">
        <f t="shared" si="9"/>
        <v>0</v>
      </c>
      <c r="T48" s="32" t="str">
        <f t="shared" si="10"/>
        <v/>
      </c>
      <c r="U48" s="597" t="str">
        <f t="shared" si="11"/>
        <v/>
      </c>
      <c r="V48" s="30"/>
      <c r="W48" s="29">
        <f t="shared" si="12"/>
        <v>0</v>
      </c>
      <c r="X48" s="38"/>
      <c r="Z48" s="21"/>
      <c r="AA48" s="22"/>
      <c r="AB48" s="29"/>
      <c r="AC48" s="34"/>
      <c r="AF48" s="29">
        <v>0</v>
      </c>
    </row>
    <row r="49" spans="1:32" ht="12" customHeight="1">
      <c r="C49" s="24" t="s">
        <v>911</v>
      </c>
      <c r="D49" s="24" t="s">
        <v>79</v>
      </c>
      <c r="E49" s="28" t="s">
        <v>80</v>
      </c>
      <c r="F49" s="29">
        <f>IFERROR(ROUND(VLOOKUP($E$4,'Outturn 2024-25'!$A:$DW,43,FALSE),2),0)</f>
        <v>0</v>
      </c>
      <c r="G49" s="30"/>
      <c r="H49" s="30"/>
      <c r="I49" s="173">
        <f t="shared" si="8"/>
        <v>0</v>
      </c>
      <c r="J49" s="29"/>
      <c r="K49" s="30"/>
      <c r="L49" s="29">
        <f t="shared" si="13"/>
        <v>0</v>
      </c>
      <c r="M49" s="31"/>
      <c r="N49" s="29">
        <v>0</v>
      </c>
      <c r="O49" s="29">
        <v>0</v>
      </c>
      <c r="P49" s="31"/>
      <c r="Q49" s="29">
        <f t="shared" si="14"/>
        <v>0</v>
      </c>
      <c r="R49" s="29"/>
      <c r="S49" s="29">
        <f t="shared" si="9"/>
        <v>0</v>
      </c>
      <c r="T49" s="32" t="str">
        <f t="shared" si="10"/>
        <v/>
      </c>
      <c r="U49" s="597" t="str">
        <f t="shared" si="11"/>
        <v/>
      </c>
      <c r="V49" s="30"/>
      <c r="W49" s="29">
        <f t="shared" si="12"/>
        <v>0</v>
      </c>
      <c r="X49" s="38"/>
      <c r="Z49" s="21"/>
      <c r="AA49" s="22"/>
      <c r="AB49" s="29"/>
      <c r="AC49" s="34"/>
      <c r="AF49" s="29">
        <v>0</v>
      </c>
    </row>
    <row r="50" spans="1:32" ht="12" customHeight="1">
      <c r="C50" s="24" t="s">
        <v>915</v>
      </c>
      <c r="D50" s="24" t="s">
        <v>81</v>
      </c>
      <c r="E50" s="28" t="s">
        <v>82</v>
      </c>
      <c r="F50" s="29">
        <f>IFERROR(ROUND(VLOOKUP($E$4,'Outturn 2024-25'!$A:$DW,44,FALSE),2),0)</f>
        <v>0</v>
      </c>
      <c r="G50" s="30"/>
      <c r="H50" s="30"/>
      <c r="I50" s="173">
        <f t="shared" si="8"/>
        <v>0</v>
      </c>
      <c r="J50" s="29"/>
      <c r="K50" s="30"/>
      <c r="L50" s="29">
        <f t="shared" si="13"/>
        <v>0</v>
      </c>
      <c r="M50" s="31"/>
      <c r="N50" s="29">
        <v>0</v>
      </c>
      <c r="O50" s="29">
        <v>0</v>
      </c>
      <c r="P50" s="31"/>
      <c r="Q50" s="29">
        <f t="shared" si="14"/>
        <v>0</v>
      </c>
      <c r="R50" s="29"/>
      <c r="S50" s="29">
        <f t="shared" si="9"/>
        <v>0</v>
      </c>
      <c r="T50" s="32" t="str">
        <f t="shared" si="10"/>
        <v/>
      </c>
      <c r="U50" s="597" t="str">
        <f t="shared" si="11"/>
        <v/>
      </c>
      <c r="V50" s="30"/>
      <c r="W50" s="29">
        <f t="shared" si="12"/>
        <v>0</v>
      </c>
      <c r="X50" s="38"/>
      <c r="Z50" s="21"/>
      <c r="AA50" s="22"/>
      <c r="AB50" s="29"/>
      <c r="AC50" s="34"/>
      <c r="AF50" s="29">
        <v>0</v>
      </c>
    </row>
    <row r="51" spans="1:32" ht="12" customHeight="1">
      <c r="C51" s="24" t="s">
        <v>916</v>
      </c>
      <c r="D51" s="24" t="s">
        <v>773</v>
      </c>
      <c r="E51" s="28" t="s">
        <v>787</v>
      </c>
      <c r="F51" s="29">
        <f>IFERROR(ROUND(VLOOKUP($E$4,'Outturn 2024-25'!$A:$DW,45,FALSE),2),0)</f>
        <v>0</v>
      </c>
      <c r="G51" s="30"/>
      <c r="H51" s="30"/>
      <c r="I51" s="173">
        <f t="shared" si="8"/>
        <v>0</v>
      </c>
      <c r="J51" s="29"/>
      <c r="K51" s="30"/>
      <c r="L51" s="29">
        <f t="shared" si="13"/>
        <v>0</v>
      </c>
      <c r="M51" s="31"/>
      <c r="N51" s="29">
        <v>0</v>
      </c>
      <c r="O51" s="29">
        <v>0</v>
      </c>
      <c r="P51" s="31"/>
      <c r="Q51" s="29">
        <f t="shared" si="14"/>
        <v>0</v>
      </c>
      <c r="R51" s="29"/>
      <c r="S51" s="29">
        <f t="shared" si="9"/>
        <v>0</v>
      </c>
      <c r="T51" s="32" t="str">
        <f t="shared" si="10"/>
        <v/>
      </c>
      <c r="U51" s="597" t="str">
        <f t="shared" si="11"/>
        <v/>
      </c>
      <c r="V51" s="30"/>
      <c r="W51" s="29">
        <f t="shared" si="12"/>
        <v>0</v>
      </c>
      <c r="X51" s="38"/>
      <c r="Z51" s="21"/>
      <c r="AA51" s="22"/>
      <c r="AB51" s="29"/>
      <c r="AC51" s="34"/>
      <c r="AF51" s="29">
        <v>0</v>
      </c>
    </row>
    <row r="52" spans="1:32" ht="12" customHeight="1">
      <c r="C52" s="24" t="s">
        <v>917</v>
      </c>
      <c r="D52" s="24" t="s">
        <v>774</v>
      </c>
      <c r="E52" s="28" t="s">
        <v>785</v>
      </c>
      <c r="F52" s="29"/>
      <c r="G52" s="30"/>
      <c r="H52" s="30"/>
      <c r="I52" s="173">
        <f t="shared" si="8"/>
        <v>0</v>
      </c>
      <c r="J52" s="29"/>
      <c r="K52" s="30"/>
      <c r="L52" s="29">
        <f t="shared" si="13"/>
        <v>0</v>
      </c>
      <c r="M52" s="31"/>
      <c r="N52" s="29"/>
      <c r="O52" s="29"/>
      <c r="P52" s="31"/>
      <c r="Q52" s="29">
        <f t="shared" si="14"/>
        <v>0</v>
      </c>
      <c r="R52" s="29"/>
      <c r="S52" s="29">
        <f t="shared" si="9"/>
        <v>0</v>
      </c>
      <c r="T52" s="32" t="str">
        <f t="shared" si="10"/>
        <v/>
      </c>
      <c r="U52" s="597" t="str">
        <f t="shared" si="11"/>
        <v/>
      </c>
      <c r="V52" s="30"/>
      <c r="W52" s="29">
        <f t="shared" si="12"/>
        <v>0</v>
      </c>
      <c r="X52" s="38"/>
      <c r="Z52" s="21"/>
      <c r="AA52" s="22"/>
      <c r="AB52" s="29"/>
      <c r="AC52" s="34"/>
      <c r="AF52" s="29"/>
    </row>
    <row r="53" spans="1:32" ht="12" customHeight="1">
      <c r="C53" s="24" t="s">
        <v>918</v>
      </c>
      <c r="D53" s="24" t="s">
        <v>775</v>
      </c>
      <c r="E53" s="28" t="s">
        <v>786</v>
      </c>
      <c r="F53" s="29"/>
      <c r="G53" s="30"/>
      <c r="H53" s="30"/>
      <c r="I53" s="173">
        <f t="shared" si="8"/>
        <v>0</v>
      </c>
      <c r="J53" s="29"/>
      <c r="K53" s="30"/>
      <c r="L53" s="29">
        <f t="shared" si="13"/>
        <v>0</v>
      </c>
      <c r="M53" s="31"/>
      <c r="N53" s="29"/>
      <c r="O53" s="29"/>
      <c r="P53" s="31"/>
      <c r="Q53" s="29">
        <f t="shared" si="14"/>
        <v>0</v>
      </c>
      <c r="R53" s="29"/>
      <c r="S53" s="29">
        <f t="shared" si="9"/>
        <v>0</v>
      </c>
      <c r="T53" s="32" t="str">
        <f t="shared" si="10"/>
        <v/>
      </c>
      <c r="U53" s="597" t="str">
        <f t="shared" si="11"/>
        <v/>
      </c>
      <c r="V53" s="30"/>
      <c r="W53" s="29">
        <f t="shared" si="12"/>
        <v>0</v>
      </c>
      <c r="X53" s="38"/>
      <c r="Z53" s="21"/>
      <c r="AA53" s="22"/>
      <c r="AB53" s="29"/>
      <c r="AC53" s="34"/>
      <c r="AF53" s="29"/>
    </row>
    <row r="54" spans="1:32" ht="12" customHeight="1">
      <c r="C54" s="24" t="s">
        <v>919</v>
      </c>
      <c r="D54" s="24" t="s">
        <v>776</v>
      </c>
      <c r="E54" s="28" t="s">
        <v>788</v>
      </c>
      <c r="F54" s="29"/>
      <c r="G54" s="30"/>
      <c r="H54" s="30"/>
      <c r="I54" s="173">
        <f t="shared" si="8"/>
        <v>0</v>
      </c>
      <c r="J54" s="29"/>
      <c r="K54" s="30"/>
      <c r="L54" s="29">
        <f t="shared" si="13"/>
        <v>0</v>
      </c>
      <c r="M54" s="31"/>
      <c r="N54" s="29"/>
      <c r="O54" s="29"/>
      <c r="P54" s="31"/>
      <c r="Q54" s="29">
        <f t="shared" si="14"/>
        <v>0</v>
      </c>
      <c r="R54" s="29"/>
      <c r="S54" s="29">
        <f t="shared" si="9"/>
        <v>0</v>
      </c>
      <c r="T54" s="32" t="str">
        <f t="shared" si="10"/>
        <v/>
      </c>
      <c r="U54" s="597" t="str">
        <f t="shared" si="11"/>
        <v/>
      </c>
      <c r="V54" s="30"/>
      <c r="W54" s="29">
        <f t="shared" si="12"/>
        <v>0</v>
      </c>
      <c r="X54" s="38"/>
      <c r="Z54" s="21"/>
      <c r="AA54" s="22"/>
      <c r="AB54" s="29"/>
      <c r="AC54" s="34"/>
      <c r="AF54" s="29"/>
    </row>
    <row r="55" spans="1:32" ht="12" customHeight="1">
      <c r="C55" s="24" t="s">
        <v>920</v>
      </c>
      <c r="D55" s="24" t="s">
        <v>777</v>
      </c>
      <c r="E55" s="28" t="s">
        <v>789</v>
      </c>
      <c r="F55" s="29"/>
      <c r="G55" s="30"/>
      <c r="H55" s="30"/>
      <c r="I55" s="173">
        <f t="shared" si="8"/>
        <v>0</v>
      </c>
      <c r="J55" s="29"/>
      <c r="K55" s="30"/>
      <c r="L55" s="29">
        <f t="shared" si="13"/>
        <v>0</v>
      </c>
      <c r="M55" s="31"/>
      <c r="N55" s="29"/>
      <c r="O55" s="29"/>
      <c r="P55" s="31"/>
      <c r="Q55" s="29">
        <f t="shared" si="14"/>
        <v>0</v>
      </c>
      <c r="R55" s="29"/>
      <c r="S55" s="29">
        <f t="shared" si="9"/>
        <v>0</v>
      </c>
      <c r="T55" s="32" t="str">
        <f t="shared" si="10"/>
        <v/>
      </c>
      <c r="U55" s="597" t="str">
        <f t="shared" si="11"/>
        <v/>
      </c>
      <c r="V55" s="30"/>
      <c r="W55" s="29">
        <f t="shared" si="12"/>
        <v>0</v>
      </c>
      <c r="X55" s="38"/>
      <c r="Z55" s="21"/>
      <c r="AA55" s="22"/>
      <c r="AB55" s="29"/>
      <c r="AC55" s="34"/>
      <c r="AF55" s="29"/>
    </row>
    <row r="56" spans="1:32" ht="12" customHeight="1">
      <c r="C56" s="24" t="s">
        <v>921</v>
      </c>
      <c r="D56" s="24" t="s">
        <v>778</v>
      </c>
      <c r="E56" s="28" t="s">
        <v>790</v>
      </c>
      <c r="F56" s="29"/>
      <c r="G56" s="30"/>
      <c r="H56" s="30"/>
      <c r="I56" s="173">
        <f t="shared" si="8"/>
        <v>0</v>
      </c>
      <c r="J56" s="29"/>
      <c r="K56" s="30"/>
      <c r="L56" s="29">
        <f t="shared" si="13"/>
        <v>0</v>
      </c>
      <c r="M56" s="31"/>
      <c r="N56" s="29"/>
      <c r="O56" s="29"/>
      <c r="P56" s="31"/>
      <c r="Q56" s="29">
        <f t="shared" si="14"/>
        <v>0</v>
      </c>
      <c r="R56" s="29"/>
      <c r="S56" s="29">
        <f>L56+Q56</f>
        <v>0</v>
      </c>
      <c r="T56" s="32" t="str">
        <f t="shared" si="10"/>
        <v/>
      </c>
      <c r="U56" s="597" t="str">
        <f t="shared" si="11"/>
        <v/>
      </c>
      <c r="V56" s="30"/>
      <c r="W56" s="29">
        <f t="shared" si="12"/>
        <v>0</v>
      </c>
      <c r="X56" s="38"/>
      <c r="Z56" s="21"/>
      <c r="AA56" s="22"/>
      <c r="AB56" s="29"/>
      <c r="AC56" s="34"/>
      <c r="AF56" s="29"/>
    </row>
    <row r="57" spans="1:32" ht="12" customHeight="1">
      <c r="C57" s="24" t="s">
        <v>922</v>
      </c>
      <c r="D57" s="24" t="s">
        <v>779</v>
      </c>
      <c r="E57" s="28" t="s">
        <v>791</v>
      </c>
      <c r="F57" s="29"/>
      <c r="G57" s="30"/>
      <c r="H57" s="30"/>
      <c r="I57" s="173">
        <f t="shared" si="8"/>
        <v>0</v>
      </c>
      <c r="J57" s="29"/>
      <c r="K57" s="30"/>
      <c r="L57" s="29">
        <f t="shared" si="13"/>
        <v>0</v>
      </c>
      <c r="M57" s="31"/>
      <c r="N57" s="29"/>
      <c r="O57" s="29"/>
      <c r="P57" s="31"/>
      <c r="Q57" s="29">
        <f t="shared" si="14"/>
        <v>0</v>
      </c>
      <c r="R57" s="29"/>
      <c r="S57" s="29">
        <f t="shared" si="9"/>
        <v>0</v>
      </c>
      <c r="T57" s="32" t="str">
        <f t="shared" si="10"/>
        <v/>
      </c>
      <c r="U57" s="597" t="str">
        <f t="shared" si="11"/>
        <v/>
      </c>
      <c r="V57" s="30"/>
      <c r="W57" s="29">
        <f t="shared" si="12"/>
        <v>0</v>
      </c>
      <c r="X57" s="38"/>
      <c r="Z57" s="21"/>
      <c r="AA57" s="22"/>
      <c r="AB57" s="29"/>
      <c r="AC57" s="34"/>
      <c r="AF57" s="29"/>
    </row>
    <row r="58" spans="1:32" ht="12" customHeight="1">
      <c r="C58" s="24"/>
      <c r="D58" s="24" t="s">
        <v>85</v>
      </c>
      <c r="E58" s="28" t="s">
        <v>86</v>
      </c>
      <c r="F58" s="29">
        <f>IFERROR(ROUND(VLOOKUP($E$4,'Outturn 2024-25'!$A:$DW,46,FALSE),2),0)</f>
        <v>0</v>
      </c>
      <c r="G58" s="30"/>
      <c r="H58" s="30"/>
      <c r="I58" s="173">
        <f t="shared" si="8"/>
        <v>0</v>
      </c>
      <c r="J58" s="29"/>
      <c r="K58" s="30"/>
      <c r="L58" s="29">
        <f t="shared" si="13"/>
        <v>0</v>
      </c>
      <c r="M58" s="31"/>
      <c r="N58" s="29">
        <v>0</v>
      </c>
      <c r="O58" s="29">
        <v>0</v>
      </c>
      <c r="P58" s="31"/>
      <c r="Q58" s="29">
        <f t="shared" si="14"/>
        <v>0</v>
      </c>
      <c r="R58" s="29"/>
      <c r="S58" s="29">
        <f t="shared" si="9"/>
        <v>0</v>
      </c>
      <c r="T58" s="32" t="str">
        <f t="shared" si="10"/>
        <v/>
      </c>
      <c r="U58" s="597" t="str">
        <f t="shared" ref="U58:U68" si="15">IFERROR(+S58/$S$69,"")</f>
        <v/>
      </c>
      <c r="V58" s="30"/>
      <c r="W58" s="29">
        <f t="shared" si="12"/>
        <v>0</v>
      </c>
      <c r="X58" s="38"/>
      <c r="Z58" s="21"/>
      <c r="AA58" s="22"/>
      <c r="AB58" s="29"/>
      <c r="AC58" s="34"/>
      <c r="AF58" s="29">
        <v>0</v>
      </c>
    </row>
    <row r="59" spans="1:32" ht="12" customHeight="1">
      <c r="C59" s="24" t="s">
        <v>926</v>
      </c>
      <c r="D59" s="24" t="s">
        <v>87</v>
      </c>
      <c r="E59" s="28" t="s">
        <v>88</v>
      </c>
      <c r="F59" s="29">
        <f>IFERROR(ROUND(VLOOKUP($E$4,'Outturn 2024-25'!$A:$DW,47,FALSE),2),0)</f>
        <v>0</v>
      </c>
      <c r="G59" s="30"/>
      <c r="H59" s="30"/>
      <c r="I59" s="173">
        <f t="shared" si="8"/>
        <v>0</v>
      </c>
      <c r="J59" s="29">
        <f>-VLOOKUP($E$4,Payments!$A:$T,16,FALSE)</f>
        <v>0</v>
      </c>
      <c r="K59" s="30"/>
      <c r="L59" s="29">
        <f t="shared" si="13"/>
        <v>0</v>
      </c>
      <c r="M59" s="31"/>
      <c r="N59" s="29">
        <v>0</v>
      </c>
      <c r="O59" s="29">
        <v>0</v>
      </c>
      <c r="P59" s="31"/>
      <c r="Q59" s="29">
        <f t="shared" si="14"/>
        <v>0</v>
      </c>
      <c r="R59" s="29"/>
      <c r="S59" s="29">
        <f t="shared" si="9"/>
        <v>0</v>
      </c>
      <c r="T59" s="32" t="str">
        <f t="shared" si="10"/>
        <v/>
      </c>
      <c r="U59" s="597" t="str">
        <f t="shared" si="15"/>
        <v/>
      </c>
      <c r="V59" s="30"/>
      <c r="W59" s="29">
        <f t="shared" si="12"/>
        <v>0</v>
      </c>
      <c r="X59" s="38"/>
      <c r="Z59" s="21"/>
      <c r="AA59" s="22"/>
      <c r="AB59" s="29"/>
      <c r="AC59" s="34"/>
      <c r="AF59" s="29">
        <v>0</v>
      </c>
    </row>
    <row r="60" spans="1:32" ht="12" customHeight="1">
      <c r="C60" s="24" t="s">
        <v>912</v>
      </c>
      <c r="D60" s="24" t="s">
        <v>89</v>
      </c>
      <c r="E60" s="28" t="s">
        <v>90</v>
      </c>
      <c r="F60" s="29">
        <f>IFERROR(ROUND(VLOOKUP($E$4,'Outturn 2024-25'!$A:$DW,48,FALSE),2),0)</f>
        <v>0</v>
      </c>
      <c r="G60" s="30"/>
      <c r="H60" s="30"/>
      <c r="I60" s="173">
        <f t="shared" si="8"/>
        <v>0</v>
      </c>
      <c r="J60" s="29">
        <f>-VLOOKUP($E$4,Payments!$A:$T,17,FALSE)</f>
        <v>0</v>
      </c>
      <c r="K60" s="30"/>
      <c r="L60" s="29">
        <f>J60+K60</f>
        <v>0</v>
      </c>
      <c r="M60" s="31"/>
      <c r="N60" s="29">
        <v>0</v>
      </c>
      <c r="O60" s="29">
        <v>0</v>
      </c>
      <c r="P60" s="31"/>
      <c r="Q60" s="29">
        <f t="shared" si="14"/>
        <v>0</v>
      </c>
      <c r="R60" s="29"/>
      <c r="S60" s="29">
        <f>L60+Q60</f>
        <v>0</v>
      </c>
      <c r="T60" s="32" t="str">
        <f t="shared" si="10"/>
        <v/>
      </c>
      <c r="U60" s="597" t="str">
        <f t="shared" si="15"/>
        <v/>
      </c>
      <c r="V60" s="30"/>
      <c r="W60" s="29">
        <f t="shared" si="12"/>
        <v>0</v>
      </c>
      <c r="X60" s="38"/>
      <c r="Z60" s="21"/>
      <c r="AA60" s="22"/>
      <c r="AB60" s="29"/>
      <c r="AC60" s="34"/>
      <c r="AF60" s="29">
        <v>0</v>
      </c>
    </row>
    <row r="61" spans="1:32" ht="12" customHeight="1">
      <c r="C61" s="24" t="s">
        <v>927</v>
      </c>
      <c r="D61" s="24" t="s">
        <v>91</v>
      </c>
      <c r="E61" s="28" t="s">
        <v>92</v>
      </c>
      <c r="F61" s="29">
        <f>IFERROR(ROUND(VLOOKUP($E$4,'Outturn 2024-25'!$A:$DW,49,FALSE),2),0)</f>
        <v>0</v>
      </c>
      <c r="G61" s="30"/>
      <c r="H61" s="30"/>
      <c r="I61" s="173">
        <f t="shared" si="8"/>
        <v>0</v>
      </c>
      <c r="J61" s="29"/>
      <c r="K61" s="30"/>
      <c r="L61" s="29">
        <f t="shared" si="13"/>
        <v>0</v>
      </c>
      <c r="M61" s="31"/>
      <c r="N61" s="29">
        <v>0</v>
      </c>
      <c r="O61" s="29">
        <v>0</v>
      </c>
      <c r="P61" s="31"/>
      <c r="Q61" s="29">
        <f t="shared" si="14"/>
        <v>0</v>
      </c>
      <c r="R61" s="29"/>
      <c r="S61" s="29">
        <f t="shared" si="9"/>
        <v>0</v>
      </c>
      <c r="T61" s="32" t="str">
        <f t="shared" si="10"/>
        <v/>
      </c>
      <c r="U61" s="597" t="str">
        <f t="shared" si="15"/>
        <v/>
      </c>
      <c r="V61" s="30"/>
      <c r="W61" s="29">
        <f t="shared" si="12"/>
        <v>0</v>
      </c>
      <c r="X61" s="38"/>
      <c r="Z61" s="21"/>
      <c r="AA61" s="22"/>
      <c r="AB61" s="29"/>
      <c r="AC61" s="34"/>
      <c r="AF61" s="29">
        <v>0</v>
      </c>
    </row>
    <row r="62" spans="1:32" ht="12" customHeight="1">
      <c r="C62" s="24" t="s">
        <v>928</v>
      </c>
      <c r="D62" s="24" t="s">
        <v>93</v>
      </c>
      <c r="E62" s="28" t="s">
        <v>94</v>
      </c>
      <c r="F62" s="29">
        <f>IFERROR(ROUND(VLOOKUP($E$4,'Outturn 2024-25'!$A:$DW,50,FALSE),2),0)</f>
        <v>0</v>
      </c>
      <c r="G62" s="30"/>
      <c r="H62" s="30"/>
      <c r="I62" s="173">
        <f t="shared" si="8"/>
        <v>0</v>
      </c>
      <c r="J62" s="29"/>
      <c r="K62" s="30"/>
      <c r="L62" s="29">
        <f t="shared" si="13"/>
        <v>0</v>
      </c>
      <c r="M62" s="31"/>
      <c r="N62" s="29">
        <v>0</v>
      </c>
      <c r="O62" s="29">
        <v>0</v>
      </c>
      <c r="P62" s="31"/>
      <c r="Q62" s="29">
        <f t="shared" si="14"/>
        <v>0</v>
      </c>
      <c r="R62" s="29"/>
      <c r="S62" s="29">
        <f t="shared" si="9"/>
        <v>0</v>
      </c>
      <c r="T62" s="32" t="str">
        <f t="shared" si="10"/>
        <v/>
      </c>
      <c r="U62" s="597" t="str">
        <f t="shared" si="15"/>
        <v/>
      </c>
      <c r="V62" s="30"/>
      <c r="W62" s="29">
        <f t="shared" si="12"/>
        <v>0</v>
      </c>
      <c r="X62" s="38"/>
      <c r="Z62" s="21"/>
      <c r="AA62" s="22"/>
      <c r="AB62" s="29"/>
      <c r="AC62" s="34"/>
      <c r="AF62" s="29">
        <v>0</v>
      </c>
    </row>
    <row r="63" spans="1:32" ht="12" customHeight="1">
      <c r="A63" s="10" t="s">
        <v>889</v>
      </c>
      <c r="B63" s="10" t="s">
        <v>896</v>
      </c>
      <c r="C63" s="24" t="s">
        <v>885</v>
      </c>
      <c r="D63" s="24" t="s">
        <v>95</v>
      </c>
      <c r="E63" s="28" t="s">
        <v>96</v>
      </c>
      <c r="F63" s="29">
        <f>IFERROR(ROUND(VLOOKUP($E$4,'Outturn 2024-25'!$A:$DW,51,FALSE),2),0)</f>
        <v>0</v>
      </c>
      <c r="G63" s="30"/>
      <c r="H63" s="30"/>
      <c r="I63" s="173">
        <f t="shared" si="8"/>
        <v>0</v>
      </c>
      <c r="J63" s="29"/>
      <c r="K63" s="30"/>
      <c r="L63" s="29">
        <f t="shared" si="13"/>
        <v>0</v>
      </c>
      <c r="M63" s="31"/>
      <c r="N63" s="29">
        <v>0</v>
      </c>
      <c r="O63" s="29">
        <v>0</v>
      </c>
      <c r="P63" s="31"/>
      <c r="Q63" s="29">
        <f t="shared" si="14"/>
        <v>0</v>
      </c>
      <c r="R63" s="29"/>
      <c r="S63" s="29">
        <f t="shared" si="9"/>
        <v>0</v>
      </c>
      <c r="T63" s="32" t="str">
        <f t="shared" si="10"/>
        <v/>
      </c>
      <c r="U63" s="597" t="str">
        <f t="shared" si="15"/>
        <v/>
      </c>
      <c r="V63" s="30"/>
      <c r="W63" s="29">
        <f t="shared" si="12"/>
        <v>0</v>
      </c>
      <c r="X63" s="38"/>
      <c r="Z63" s="21"/>
      <c r="AA63" s="22"/>
      <c r="AB63" s="29"/>
      <c r="AC63" s="34"/>
      <c r="AF63" s="29">
        <v>0</v>
      </c>
    </row>
    <row r="64" spans="1:32" ht="12" customHeight="1">
      <c r="C64" s="24" t="s">
        <v>923</v>
      </c>
      <c r="D64" s="24" t="s">
        <v>97</v>
      </c>
      <c r="E64" s="28" t="s">
        <v>98</v>
      </c>
      <c r="F64" s="29">
        <f>IFERROR(ROUND(VLOOKUP($E$4,'Outturn 2024-25'!$A:$DW,52,FALSE),2),0)</f>
        <v>0</v>
      </c>
      <c r="G64" s="30"/>
      <c r="H64" s="30"/>
      <c r="I64" s="173">
        <f t="shared" si="8"/>
        <v>0</v>
      </c>
      <c r="J64" s="29">
        <f>-VLOOKUP($E$4,Payments!$A:$T,18,FALSE)</f>
        <v>0</v>
      </c>
      <c r="K64" s="30"/>
      <c r="L64" s="29">
        <f t="shared" si="13"/>
        <v>0</v>
      </c>
      <c r="M64" s="31"/>
      <c r="N64" s="29">
        <v>0</v>
      </c>
      <c r="O64" s="29">
        <v>0</v>
      </c>
      <c r="P64" s="31"/>
      <c r="Q64" s="29">
        <f t="shared" si="14"/>
        <v>0</v>
      </c>
      <c r="R64" s="29"/>
      <c r="S64" s="29">
        <f t="shared" si="9"/>
        <v>0</v>
      </c>
      <c r="T64" s="32" t="str">
        <f t="shared" si="10"/>
        <v/>
      </c>
      <c r="U64" s="597" t="str">
        <f t="shared" si="15"/>
        <v/>
      </c>
      <c r="V64" s="30"/>
      <c r="W64" s="29">
        <f t="shared" si="12"/>
        <v>0</v>
      </c>
      <c r="X64" s="38"/>
      <c r="Z64" s="21"/>
      <c r="AA64" s="22"/>
      <c r="AB64" s="29"/>
      <c r="AC64" s="34"/>
      <c r="AF64" s="29">
        <v>0</v>
      </c>
    </row>
    <row r="65" spans="3:32" ht="12" customHeight="1">
      <c r="C65" s="24" t="s">
        <v>929</v>
      </c>
      <c r="D65" s="24" t="s">
        <v>282</v>
      </c>
      <c r="E65" s="28" t="s">
        <v>286</v>
      </c>
      <c r="F65" s="29">
        <f>IFERROR(ROUND(VLOOKUP($E$4,'Outturn 2024-25'!$A:$DW,53,FALSE),2),0)</f>
        <v>0</v>
      </c>
      <c r="G65" s="30"/>
      <c r="H65" s="30"/>
      <c r="I65" s="173">
        <f t="shared" si="8"/>
        <v>0</v>
      </c>
      <c r="J65" s="29"/>
      <c r="K65" s="30"/>
      <c r="L65" s="29">
        <f t="shared" si="13"/>
        <v>0</v>
      </c>
      <c r="M65" s="31"/>
      <c r="N65" s="29">
        <v>0</v>
      </c>
      <c r="O65" s="29">
        <v>0</v>
      </c>
      <c r="P65" s="31"/>
      <c r="Q65" s="29">
        <f t="shared" si="14"/>
        <v>0</v>
      </c>
      <c r="R65" s="29"/>
      <c r="S65" s="29">
        <f t="shared" si="9"/>
        <v>0</v>
      </c>
      <c r="T65" s="32" t="str">
        <f t="shared" si="10"/>
        <v/>
      </c>
      <c r="U65" s="597" t="str">
        <f t="shared" si="15"/>
        <v/>
      </c>
      <c r="V65" s="30"/>
      <c r="W65" s="29">
        <f t="shared" si="12"/>
        <v>0</v>
      </c>
      <c r="X65" s="38"/>
      <c r="Z65" s="21"/>
      <c r="AA65" s="22"/>
      <c r="AB65" s="29"/>
      <c r="AC65" s="34"/>
      <c r="AF65" s="29">
        <v>0</v>
      </c>
    </row>
    <row r="66" spans="3:32" ht="12" customHeight="1">
      <c r="C66" s="24" t="s">
        <v>930</v>
      </c>
      <c r="D66" s="24" t="s">
        <v>283</v>
      </c>
      <c r="E66" s="28" t="s">
        <v>287</v>
      </c>
      <c r="F66" s="29">
        <f>IFERROR(ROUND(VLOOKUP($E$4,'Outturn 2024-25'!$A:$DW,54,FALSE),2),0)</f>
        <v>0</v>
      </c>
      <c r="G66" s="30"/>
      <c r="H66" s="30"/>
      <c r="I66" s="173">
        <f t="shared" si="8"/>
        <v>0</v>
      </c>
      <c r="J66" s="29"/>
      <c r="K66" s="30"/>
      <c r="L66" s="29">
        <f t="shared" si="13"/>
        <v>0</v>
      </c>
      <c r="M66" s="31"/>
      <c r="N66" s="29">
        <v>0</v>
      </c>
      <c r="O66" s="29">
        <v>0</v>
      </c>
      <c r="P66" s="31"/>
      <c r="Q66" s="29">
        <f t="shared" si="14"/>
        <v>0</v>
      </c>
      <c r="R66" s="29"/>
      <c r="S66" s="29">
        <f t="shared" si="9"/>
        <v>0</v>
      </c>
      <c r="T66" s="32" t="str">
        <f t="shared" si="10"/>
        <v/>
      </c>
      <c r="U66" s="597" t="str">
        <f t="shared" si="15"/>
        <v/>
      </c>
      <c r="V66" s="30"/>
      <c r="W66" s="29">
        <f t="shared" si="12"/>
        <v>0</v>
      </c>
      <c r="X66" s="38"/>
      <c r="Z66" s="21"/>
      <c r="AA66" s="22"/>
      <c r="AB66" s="29"/>
      <c r="AC66" s="34"/>
      <c r="AF66" s="29">
        <v>0</v>
      </c>
    </row>
    <row r="67" spans="3:32" ht="12" customHeight="1">
      <c r="C67" s="24" t="s">
        <v>931</v>
      </c>
      <c r="D67" s="24" t="s">
        <v>99</v>
      </c>
      <c r="E67" s="28" t="s">
        <v>100</v>
      </c>
      <c r="F67" s="29">
        <f>IFERROR(ROUND(VLOOKUP($E$4,'Outturn 2024-25'!$A:$DW,55,FALSE),2),0)</f>
        <v>0</v>
      </c>
      <c r="G67" s="30"/>
      <c r="H67" s="30"/>
      <c r="I67" s="173">
        <f t="shared" si="8"/>
        <v>0</v>
      </c>
      <c r="J67" s="29"/>
      <c r="K67" s="30"/>
      <c r="L67" s="29">
        <f t="shared" si="13"/>
        <v>0</v>
      </c>
      <c r="M67" s="31"/>
      <c r="N67" s="29">
        <v>0</v>
      </c>
      <c r="O67" s="29">
        <v>0</v>
      </c>
      <c r="P67" s="31"/>
      <c r="Q67" s="29">
        <f t="shared" si="14"/>
        <v>0</v>
      </c>
      <c r="R67" s="29"/>
      <c r="S67" s="29">
        <f t="shared" si="9"/>
        <v>0</v>
      </c>
      <c r="T67" s="32" t="str">
        <f t="shared" si="10"/>
        <v/>
      </c>
      <c r="U67" s="597" t="str">
        <f t="shared" si="15"/>
        <v/>
      </c>
      <c r="V67" s="30"/>
      <c r="W67" s="29">
        <f t="shared" si="12"/>
        <v>0</v>
      </c>
      <c r="X67" s="38"/>
      <c r="Z67" s="21"/>
      <c r="AA67" s="22"/>
      <c r="AB67" s="29"/>
      <c r="AC67" s="34"/>
      <c r="AF67" s="29">
        <v>0</v>
      </c>
    </row>
    <row r="68" spans="3:32" ht="12" customHeight="1">
      <c r="C68" s="24" t="s">
        <v>932</v>
      </c>
      <c r="D68" s="24" t="s">
        <v>101</v>
      </c>
      <c r="E68" s="28" t="s">
        <v>102</v>
      </c>
      <c r="F68" s="29">
        <f>IFERROR(ROUND(VLOOKUP($E$4,'Outturn 2024-25'!$A:$DW,56,FALSE),2),0)</f>
        <v>0</v>
      </c>
      <c r="G68" s="30"/>
      <c r="H68" s="30"/>
      <c r="I68" s="173">
        <f t="shared" si="8"/>
        <v>0</v>
      </c>
      <c r="J68" s="29"/>
      <c r="K68" s="30"/>
      <c r="L68" s="29">
        <f t="shared" si="13"/>
        <v>0</v>
      </c>
      <c r="M68" s="31"/>
      <c r="N68" s="29">
        <v>0</v>
      </c>
      <c r="O68" s="29">
        <v>0</v>
      </c>
      <c r="P68" s="31"/>
      <c r="Q68" s="29">
        <f t="shared" si="14"/>
        <v>0</v>
      </c>
      <c r="R68" s="29"/>
      <c r="S68" s="29">
        <f t="shared" si="9"/>
        <v>0</v>
      </c>
      <c r="T68" s="32" t="str">
        <f t="shared" si="10"/>
        <v/>
      </c>
      <c r="U68" s="597" t="str">
        <f t="shared" si="15"/>
        <v/>
      </c>
      <c r="V68" s="30"/>
      <c r="W68" s="29">
        <f t="shared" si="12"/>
        <v>0</v>
      </c>
      <c r="X68" s="38"/>
      <c r="Z68" s="21"/>
      <c r="AA68" s="22"/>
      <c r="AB68" s="29"/>
      <c r="AC68" s="34"/>
      <c r="AF68" s="29">
        <v>0</v>
      </c>
    </row>
    <row r="69" spans="3:32">
      <c r="D69" s="697" t="s">
        <v>103</v>
      </c>
      <c r="E69" s="698"/>
      <c r="F69" s="18">
        <f t="shared" ref="F69:Q69" si="16">SUM(F32:F68)</f>
        <v>0</v>
      </c>
      <c r="G69" s="174">
        <f t="shared" si="16"/>
        <v>0</v>
      </c>
      <c r="H69" s="18">
        <f t="shared" si="16"/>
        <v>0</v>
      </c>
      <c r="I69" s="18">
        <f t="shared" si="16"/>
        <v>0</v>
      </c>
      <c r="J69" s="18">
        <f t="shared" si="16"/>
        <v>0</v>
      </c>
      <c r="K69" s="18">
        <f t="shared" si="16"/>
        <v>0</v>
      </c>
      <c r="L69" s="18">
        <f t="shared" si="16"/>
        <v>0</v>
      </c>
      <c r="M69" s="18">
        <f t="shared" si="16"/>
        <v>0</v>
      </c>
      <c r="N69" s="18">
        <f t="shared" si="16"/>
        <v>0</v>
      </c>
      <c r="O69" s="18">
        <f t="shared" si="16"/>
        <v>0</v>
      </c>
      <c r="P69" s="18">
        <f t="shared" si="16"/>
        <v>0</v>
      </c>
      <c r="Q69" s="18">
        <f t="shared" si="16"/>
        <v>0</v>
      </c>
      <c r="R69" s="18"/>
      <c r="S69" s="18">
        <f>SUM(S32:S68)</f>
        <v>0</v>
      </c>
      <c r="T69" s="18"/>
      <c r="U69" s="598"/>
      <c r="V69" s="18">
        <f>SUM(V32:V68)</f>
        <v>0</v>
      </c>
      <c r="W69" s="18">
        <f>SUM(W32:W68)</f>
        <v>0</v>
      </c>
      <c r="X69" s="20"/>
      <c r="AA69" s="13"/>
      <c r="AB69" s="18">
        <v>0</v>
      </c>
      <c r="AC69" s="23"/>
      <c r="AF69" s="18">
        <v>0</v>
      </c>
    </row>
    <row r="70" spans="3:32">
      <c r="D70" s="40"/>
      <c r="E70" s="41"/>
      <c r="F70" s="42"/>
      <c r="G70" s="176"/>
      <c r="H70" s="27"/>
      <c r="I70" s="27"/>
      <c r="J70" s="43"/>
      <c r="K70" s="27"/>
      <c r="L70" s="27"/>
      <c r="M70" s="27"/>
      <c r="N70" s="27"/>
      <c r="O70" s="27"/>
      <c r="P70" s="27"/>
      <c r="Q70" s="27"/>
      <c r="R70" s="27"/>
      <c r="S70" s="27"/>
      <c r="T70" s="27"/>
      <c r="U70" s="600"/>
      <c r="V70" s="27"/>
      <c r="W70" s="27"/>
      <c r="X70" s="44"/>
      <c r="Z70" s="21"/>
      <c r="AA70" s="22"/>
      <c r="AB70" s="27"/>
      <c r="AC70" s="27"/>
      <c r="AF70" s="27"/>
    </row>
    <row r="71" spans="3:32">
      <c r="D71" s="697" t="s">
        <v>104</v>
      </c>
      <c r="E71" s="698"/>
      <c r="F71" s="18">
        <f t="shared" ref="F71:Q71" si="17">F30-F69</f>
        <v>0</v>
      </c>
      <c r="G71" s="174">
        <f t="shared" si="17"/>
        <v>0</v>
      </c>
      <c r="H71" s="18">
        <f t="shared" si="17"/>
        <v>0</v>
      </c>
      <c r="I71" s="18">
        <f t="shared" si="17"/>
        <v>0</v>
      </c>
      <c r="J71" s="18">
        <f t="shared" si="17"/>
        <v>0</v>
      </c>
      <c r="K71" s="18">
        <f t="shared" si="17"/>
        <v>0</v>
      </c>
      <c r="L71" s="18">
        <f t="shared" si="17"/>
        <v>0</v>
      </c>
      <c r="M71" s="18">
        <f t="shared" si="17"/>
        <v>0</v>
      </c>
      <c r="N71" s="18">
        <f t="shared" si="17"/>
        <v>0</v>
      </c>
      <c r="O71" s="18">
        <f t="shared" si="17"/>
        <v>0</v>
      </c>
      <c r="P71" s="18">
        <f t="shared" si="17"/>
        <v>0</v>
      </c>
      <c r="Q71" s="18">
        <f t="shared" si="17"/>
        <v>0</v>
      </c>
      <c r="R71" s="18"/>
      <c r="S71" s="18">
        <f>S30-S69</f>
        <v>0</v>
      </c>
      <c r="T71" s="18"/>
      <c r="U71" s="598"/>
      <c r="V71" s="18">
        <f>V30-V69</f>
        <v>0</v>
      </c>
      <c r="W71" s="18">
        <f>W30-W69</f>
        <v>0</v>
      </c>
      <c r="X71" s="45"/>
      <c r="AA71" s="13"/>
      <c r="AB71" s="18">
        <v>0</v>
      </c>
      <c r="AC71" s="23"/>
      <c r="AF71" s="18">
        <v>0</v>
      </c>
    </row>
    <row r="72" spans="3:32">
      <c r="D72" s="40"/>
      <c r="F72" s="42"/>
      <c r="G72" s="176"/>
      <c r="H72" s="27"/>
      <c r="I72" s="27"/>
      <c r="J72" s="43"/>
      <c r="K72" s="27"/>
      <c r="L72" s="27"/>
      <c r="M72" s="27"/>
      <c r="N72" s="27"/>
      <c r="O72" s="27"/>
      <c r="P72" s="27"/>
      <c r="Q72" s="27"/>
      <c r="R72" s="27"/>
      <c r="S72" s="27"/>
      <c r="T72" s="27"/>
      <c r="U72" s="600"/>
      <c r="V72" s="27"/>
      <c r="W72" s="27"/>
      <c r="X72" s="46"/>
      <c r="Z72" s="21"/>
      <c r="AA72" s="22"/>
      <c r="AB72" s="27"/>
      <c r="AC72" s="27"/>
      <c r="AF72" s="27"/>
    </row>
    <row r="73" spans="3:32">
      <c r="D73" s="697" t="s">
        <v>105</v>
      </c>
      <c r="E73" s="698"/>
      <c r="F73" s="18">
        <f t="shared" ref="F73:Q73" si="18">F71+F13</f>
        <v>0</v>
      </c>
      <c r="G73" s="174">
        <f t="shared" si="18"/>
        <v>0</v>
      </c>
      <c r="H73" s="18">
        <f t="shared" si="18"/>
        <v>0</v>
      </c>
      <c r="I73" s="18">
        <f t="shared" si="18"/>
        <v>0</v>
      </c>
      <c r="J73" s="18">
        <f t="shared" si="18"/>
        <v>0</v>
      </c>
      <c r="K73" s="18">
        <f t="shared" si="18"/>
        <v>0</v>
      </c>
      <c r="L73" s="18">
        <f t="shared" si="18"/>
        <v>0</v>
      </c>
      <c r="M73" s="18">
        <f t="shared" si="18"/>
        <v>0</v>
      </c>
      <c r="N73" s="18">
        <f t="shared" si="18"/>
        <v>0</v>
      </c>
      <c r="O73" s="18">
        <f t="shared" si="18"/>
        <v>0</v>
      </c>
      <c r="P73" s="18">
        <f t="shared" si="18"/>
        <v>0</v>
      </c>
      <c r="Q73" s="18">
        <f t="shared" si="18"/>
        <v>0</v>
      </c>
      <c r="R73" s="18"/>
      <c r="S73" s="18">
        <f>S71+S13</f>
        <v>0</v>
      </c>
      <c r="T73" s="18">
        <f>T71+T13</f>
        <v>0</v>
      </c>
      <c r="U73" s="598"/>
      <c r="V73" s="18">
        <f>V71+V13</f>
        <v>0</v>
      </c>
      <c r="W73" s="18">
        <f>W71+W13</f>
        <v>0</v>
      </c>
      <c r="X73" s="45"/>
      <c r="AA73" s="13"/>
      <c r="AB73" s="18">
        <v>0</v>
      </c>
      <c r="AC73" s="23"/>
      <c r="AF73" s="18">
        <v>0</v>
      </c>
    </row>
    <row r="74" spans="3:32">
      <c r="D74" s="47"/>
      <c r="E74" s="48"/>
      <c r="F74" s="49"/>
      <c r="G74" s="177"/>
      <c r="H74" s="50"/>
      <c r="I74" s="50"/>
      <c r="J74" s="50"/>
      <c r="K74" s="50"/>
      <c r="L74" s="50"/>
      <c r="M74" s="50"/>
      <c r="N74" s="50"/>
      <c r="O74" s="50"/>
      <c r="P74" s="50"/>
      <c r="Q74" s="50"/>
      <c r="R74" s="50"/>
      <c r="S74" s="50"/>
      <c r="T74" s="50"/>
      <c r="U74" s="601"/>
      <c r="V74" s="50"/>
      <c r="W74" s="50"/>
      <c r="X74" s="44"/>
      <c r="Z74" s="21"/>
      <c r="AA74" s="22"/>
      <c r="AB74" s="50"/>
      <c r="AC74" s="27"/>
      <c r="AF74" s="50"/>
    </row>
    <row r="75" spans="3:32" ht="18">
      <c r="D75" s="51" t="s">
        <v>106</v>
      </c>
      <c r="F75" s="52"/>
      <c r="G75" s="176"/>
      <c r="H75" s="27"/>
      <c r="I75" s="27"/>
      <c r="J75" s="27"/>
      <c r="K75" s="27"/>
      <c r="L75" s="27"/>
      <c r="M75" s="27"/>
      <c r="N75" s="27"/>
      <c r="O75" s="27"/>
      <c r="P75" s="27"/>
      <c r="Q75" s="27"/>
      <c r="R75" s="27"/>
      <c r="S75" s="27"/>
      <c r="T75" s="27"/>
      <c r="U75" s="600"/>
      <c r="V75" s="27"/>
      <c r="W75" s="27"/>
      <c r="X75" s="46"/>
      <c r="Z75" s="21"/>
      <c r="AA75" s="22"/>
      <c r="AB75" s="27"/>
      <c r="AC75" s="27"/>
      <c r="AF75" s="27"/>
    </row>
    <row r="76" spans="3:32" ht="12" customHeight="1">
      <c r="D76" s="51"/>
      <c r="E76" s="53"/>
      <c r="F76" s="54"/>
      <c r="G76" s="178"/>
      <c r="H76" s="55"/>
      <c r="I76" s="55"/>
      <c r="J76" s="55"/>
      <c r="K76" s="55"/>
      <c r="L76" s="55"/>
      <c r="M76" s="55"/>
      <c r="N76" s="55"/>
      <c r="O76" s="55"/>
      <c r="P76" s="55"/>
      <c r="Q76" s="55"/>
      <c r="R76" s="55"/>
      <c r="S76" s="55"/>
      <c r="T76" s="55"/>
      <c r="U76" s="602"/>
      <c r="V76" s="55"/>
      <c r="W76" s="55"/>
      <c r="X76" s="46"/>
      <c r="Z76" s="21"/>
      <c r="AA76" s="22"/>
      <c r="AB76" s="55"/>
      <c r="AC76" s="27"/>
      <c r="AF76" s="55"/>
    </row>
    <row r="77" spans="3:32">
      <c r="D77" s="697" t="s">
        <v>107</v>
      </c>
      <c r="E77" s="698"/>
      <c r="F77" s="18">
        <f>IFERROR(ROUND(VLOOKUP($E$4,'Outturn 2024-25'!$A:$DW,70,FALSE),2),0)</f>
        <v>0</v>
      </c>
      <c r="G77" s="174">
        <f>F121</f>
        <v>0</v>
      </c>
      <c r="H77" s="18"/>
      <c r="I77" s="18">
        <f>G77+H77</f>
        <v>0</v>
      </c>
      <c r="J77" s="18"/>
      <c r="K77" s="18"/>
      <c r="L77" s="18"/>
      <c r="M77" s="18"/>
      <c r="N77" s="18"/>
      <c r="O77" s="18"/>
      <c r="P77" s="18"/>
      <c r="Q77" s="18"/>
      <c r="R77" s="18"/>
      <c r="S77" s="18">
        <f>G77</f>
        <v>0</v>
      </c>
      <c r="T77" s="19"/>
      <c r="U77" s="598"/>
      <c r="V77" s="18">
        <f>G77</f>
        <v>0</v>
      </c>
      <c r="W77" s="18"/>
      <c r="X77" s="20"/>
      <c r="Z77" s="21"/>
      <c r="AA77" s="22"/>
      <c r="AB77" s="18">
        <v>0</v>
      </c>
      <c r="AC77" s="23"/>
      <c r="AF77" s="18">
        <v>0</v>
      </c>
    </row>
    <row r="78" spans="3:32">
      <c r="D78" s="24"/>
      <c r="E78" s="25" t="s">
        <v>108</v>
      </c>
      <c r="F78" s="56"/>
      <c r="G78" s="180"/>
      <c r="H78" s="56"/>
      <c r="I78" s="56"/>
      <c r="J78" s="56"/>
      <c r="K78" s="56"/>
      <c r="L78" s="56"/>
      <c r="M78" s="56"/>
      <c r="N78" s="56"/>
      <c r="O78" s="56"/>
      <c r="P78" s="56"/>
      <c r="Q78" s="56"/>
      <c r="R78" s="56"/>
      <c r="S78" s="56"/>
      <c r="T78" s="56"/>
      <c r="U78" s="599"/>
      <c r="V78" s="56"/>
      <c r="W78" s="56"/>
      <c r="X78" s="36"/>
      <c r="AA78" s="13"/>
      <c r="AB78" s="56"/>
      <c r="AC78" s="59"/>
      <c r="AF78" s="56"/>
    </row>
    <row r="79" spans="3:32" ht="12" customHeight="1">
      <c r="C79" s="24" t="s">
        <v>980</v>
      </c>
      <c r="D79" s="24" t="s">
        <v>109</v>
      </c>
      <c r="E79" s="28" t="s">
        <v>110</v>
      </c>
      <c r="F79" s="29">
        <f>IFERROR(ROUND(VLOOKUP($E$4,'Outturn 2024-25'!$A:$DW,61,FALSE),2),0)</f>
        <v>0</v>
      </c>
      <c r="G79" s="30"/>
      <c r="H79" s="30"/>
      <c r="I79" s="173">
        <f>G79+H79</f>
        <v>0</v>
      </c>
      <c r="J79" s="29">
        <f>VLOOKUP($E$4,Payments!$A:$T,19,FALSE)</f>
        <v>0</v>
      </c>
      <c r="K79" s="30"/>
      <c r="L79" s="29">
        <f t="shared" ref="L79:L80" si="19">J79+K79</f>
        <v>0</v>
      </c>
      <c r="M79" s="29">
        <v>0</v>
      </c>
      <c r="N79" s="31"/>
      <c r="O79" s="31"/>
      <c r="P79" s="29">
        <v>0</v>
      </c>
      <c r="Q79" s="29">
        <f>M79+P79</f>
        <v>0</v>
      </c>
      <c r="R79" s="29"/>
      <c r="S79" s="29">
        <f>L79+Q79</f>
        <v>0</v>
      </c>
      <c r="T79" s="32" t="str">
        <f>IFERROR((S79/G79),"")</f>
        <v/>
      </c>
      <c r="U79" s="597" t="str">
        <f t="shared" ref="U79:U81" si="20">IFERROR(+S79/$S$69,"")</f>
        <v/>
      </c>
      <c r="V79" s="30"/>
      <c r="W79" s="29">
        <f>I79-V79</f>
        <v>0</v>
      </c>
      <c r="X79" s="38"/>
      <c r="Z79" s="21"/>
      <c r="AA79" s="13"/>
      <c r="AB79" s="29"/>
      <c r="AC79" s="34"/>
      <c r="AF79" s="29">
        <v>0</v>
      </c>
    </row>
    <row r="80" spans="3:32" ht="12" customHeight="1">
      <c r="C80" s="24" t="s">
        <v>981</v>
      </c>
      <c r="D80" s="24" t="s">
        <v>111</v>
      </c>
      <c r="E80" s="28" t="s">
        <v>112</v>
      </c>
      <c r="F80" s="29">
        <f>IFERROR(ROUND(VLOOKUP($E$4,'Outturn 2024-25'!$A:$DW,62,FALSE),2),0)</f>
        <v>0</v>
      </c>
      <c r="G80" s="30"/>
      <c r="H80" s="30"/>
      <c r="I80" s="173">
        <f>G80+H80</f>
        <v>0</v>
      </c>
      <c r="J80" s="29"/>
      <c r="K80" s="30"/>
      <c r="L80" s="29">
        <f t="shared" si="19"/>
        <v>0</v>
      </c>
      <c r="M80" s="29">
        <v>0</v>
      </c>
      <c r="N80" s="31"/>
      <c r="O80" s="31"/>
      <c r="P80" s="29">
        <v>0</v>
      </c>
      <c r="Q80" s="29">
        <f t="shared" ref="Q80:Q81" si="21">M80+P80</f>
        <v>0</v>
      </c>
      <c r="R80" s="29"/>
      <c r="S80" s="29">
        <f>L80+Q80</f>
        <v>0</v>
      </c>
      <c r="T80" s="32" t="str">
        <f>IFERROR((S80/G80),"")</f>
        <v/>
      </c>
      <c r="U80" s="597" t="str">
        <f t="shared" si="20"/>
        <v/>
      </c>
      <c r="V80" s="30"/>
      <c r="W80" s="29">
        <f>I80-V80</f>
        <v>0</v>
      </c>
      <c r="X80" s="38"/>
      <c r="Z80" s="21"/>
      <c r="AA80" s="13"/>
      <c r="AB80" s="29"/>
      <c r="AC80" s="34"/>
      <c r="AF80" s="29">
        <v>0</v>
      </c>
    </row>
    <row r="81" spans="3:32" ht="12" customHeight="1">
      <c r="C81" s="24" t="s">
        <v>982</v>
      </c>
      <c r="D81" s="24" t="s">
        <v>113</v>
      </c>
      <c r="E81" s="28" t="s">
        <v>114</v>
      </c>
      <c r="F81" s="29">
        <f>IFERROR(ROUND(VLOOKUP($E$4,'Outturn 2024-25'!$A:$DW,63,FALSE),2),0)</f>
        <v>0</v>
      </c>
      <c r="G81" s="30"/>
      <c r="H81" s="30"/>
      <c r="I81" s="173">
        <f t="shared" ref="I81" si="22">G81+H81</f>
        <v>0</v>
      </c>
      <c r="J81" s="29"/>
      <c r="K81" s="173">
        <f>K68</f>
        <v>0</v>
      </c>
      <c r="L81" s="29">
        <f>J81+K81</f>
        <v>0</v>
      </c>
      <c r="M81" s="29">
        <v>0</v>
      </c>
      <c r="N81" s="31"/>
      <c r="O81" s="31"/>
      <c r="P81" s="29">
        <v>0</v>
      </c>
      <c r="Q81" s="29">
        <f t="shared" si="21"/>
        <v>0</v>
      </c>
      <c r="R81" s="29"/>
      <c r="S81" s="29">
        <f>L81+Q81</f>
        <v>0</v>
      </c>
      <c r="T81" s="32" t="str">
        <f t="shared" ref="T81" si="23">IFERROR((S81/G81),"")</f>
        <v/>
      </c>
      <c r="U81" s="597" t="str">
        <f t="shared" si="20"/>
        <v/>
      </c>
      <c r="V81" s="30"/>
      <c r="W81" s="29">
        <f>I81-V81</f>
        <v>0</v>
      </c>
      <c r="X81" s="60"/>
      <c r="Z81" s="21"/>
      <c r="AA81" s="13"/>
      <c r="AB81" s="29"/>
      <c r="AC81" s="34"/>
      <c r="AF81" s="29">
        <v>0</v>
      </c>
    </row>
    <row r="82" spans="3:32">
      <c r="D82" s="697" t="s">
        <v>115</v>
      </c>
      <c r="E82" s="698"/>
      <c r="F82" s="18">
        <f t="shared" ref="F82:Q82" si="24">SUM(F79:F81)</f>
        <v>0</v>
      </c>
      <c r="G82" s="174">
        <f>SUM(G79:G81)</f>
        <v>0</v>
      </c>
      <c r="H82" s="18">
        <f t="shared" si="24"/>
        <v>0</v>
      </c>
      <c r="I82" s="18">
        <f t="shared" si="24"/>
        <v>0</v>
      </c>
      <c r="J82" s="18">
        <f t="shared" si="24"/>
        <v>0</v>
      </c>
      <c r="K82" s="18">
        <f t="shared" si="24"/>
        <v>0</v>
      </c>
      <c r="L82" s="18">
        <f t="shared" si="24"/>
        <v>0</v>
      </c>
      <c r="M82" s="18">
        <f t="shared" si="24"/>
        <v>0</v>
      </c>
      <c r="N82" s="18">
        <f t="shared" si="24"/>
        <v>0</v>
      </c>
      <c r="O82" s="18">
        <f t="shared" si="24"/>
        <v>0</v>
      </c>
      <c r="P82" s="18">
        <f t="shared" si="24"/>
        <v>0</v>
      </c>
      <c r="Q82" s="18">
        <f t="shared" si="24"/>
        <v>0</v>
      </c>
      <c r="R82" s="18"/>
      <c r="S82" s="18">
        <f>SUM(S79:S81)</f>
        <v>0</v>
      </c>
      <c r="T82" s="18">
        <f>SUM(T79:T81)</f>
        <v>0</v>
      </c>
      <c r="U82" s="598"/>
      <c r="V82" s="18">
        <f>SUM(V79:V81)</f>
        <v>0</v>
      </c>
      <c r="W82" s="18">
        <f>SUM(W79:W81)</f>
        <v>0</v>
      </c>
      <c r="X82" s="20"/>
      <c r="AA82" s="13"/>
      <c r="AB82" s="18">
        <v>0</v>
      </c>
      <c r="AC82" s="23"/>
      <c r="AF82" s="18">
        <v>0</v>
      </c>
    </row>
    <row r="83" spans="3:32">
      <c r="D83" s="24"/>
      <c r="E83" s="25" t="s">
        <v>116</v>
      </c>
      <c r="F83" s="36"/>
      <c r="G83" s="175"/>
      <c r="H83" s="36"/>
      <c r="I83" s="36"/>
      <c r="J83" s="36"/>
      <c r="K83" s="36"/>
      <c r="L83" s="36"/>
      <c r="M83" s="36"/>
      <c r="N83" s="36"/>
      <c r="O83" s="36"/>
      <c r="P83" s="36"/>
      <c r="Q83" s="36"/>
      <c r="R83" s="36"/>
      <c r="S83" s="36"/>
      <c r="T83" s="36"/>
      <c r="U83" s="599"/>
      <c r="V83" s="36"/>
      <c r="W83" s="36"/>
      <c r="X83" s="36"/>
      <c r="AA83" s="13"/>
      <c r="AB83" s="36"/>
      <c r="AC83" s="37"/>
      <c r="AF83" s="36"/>
    </row>
    <row r="84" spans="3:32" ht="12" customHeight="1">
      <c r="C84" s="24" t="s">
        <v>976</v>
      </c>
      <c r="D84" s="24" t="s">
        <v>117</v>
      </c>
      <c r="E84" s="28" t="s">
        <v>118</v>
      </c>
      <c r="F84" s="29">
        <f>IFERROR(ROUND(VLOOKUP($E$4,'Outturn 2024-25'!$A:$DW,65,FALSE),2),0)</f>
        <v>0</v>
      </c>
      <c r="G84" s="30"/>
      <c r="H84" s="30"/>
      <c r="I84" s="173">
        <f t="shared" ref="I84:I91" si="25">G84+H84</f>
        <v>0</v>
      </c>
      <c r="J84" s="29"/>
      <c r="K84" s="30"/>
      <c r="L84" s="29">
        <f>J84+K84</f>
        <v>0</v>
      </c>
      <c r="M84" s="31"/>
      <c r="N84" s="29">
        <v>0</v>
      </c>
      <c r="O84" s="29">
        <v>0</v>
      </c>
      <c r="P84" s="31"/>
      <c r="Q84" s="29">
        <f t="shared" ref="Q84:Q91" si="26">O84+N84</f>
        <v>0</v>
      </c>
      <c r="R84" s="29"/>
      <c r="S84" s="29">
        <f>L84+Q84</f>
        <v>0</v>
      </c>
      <c r="T84" s="32" t="str">
        <f t="shared" ref="T84:T91" si="27">IFERROR((S84/G84),"")</f>
        <v/>
      </c>
      <c r="U84" s="597" t="str">
        <f t="shared" ref="U84:U91" si="28">IFERROR(+S84/$S$69,"")</f>
        <v/>
      </c>
      <c r="V84" s="30"/>
      <c r="W84" s="29">
        <f>I84-V84</f>
        <v>0</v>
      </c>
      <c r="X84" s="38"/>
      <c r="Z84" s="21"/>
      <c r="AA84" s="13"/>
      <c r="AB84" s="29"/>
      <c r="AC84" s="34"/>
      <c r="AF84" s="29">
        <v>0</v>
      </c>
    </row>
    <row r="85" spans="3:32" ht="12" customHeight="1">
      <c r="C85" s="24" t="s">
        <v>977</v>
      </c>
      <c r="D85" s="24" t="s">
        <v>119</v>
      </c>
      <c r="E85" s="28" t="s">
        <v>120</v>
      </c>
      <c r="F85" s="29">
        <f>IFERROR(ROUND(VLOOKUP($E$4,'Outturn 2024-25'!$A:$DW,66,FALSE),2),0)</f>
        <v>0</v>
      </c>
      <c r="G85" s="30"/>
      <c r="H85" s="30"/>
      <c r="I85" s="173">
        <f t="shared" si="25"/>
        <v>0</v>
      </c>
      <c r="J85" s="29"/>
      <c r="K85" s="30"/>
      <c r="L85" s="29">
        <f t="shared" ref="L85:L90" si="29">J85+K85</f>
        <v>0</v>
      </c>
      <c r="M85" s="31"/>
      <c r="N85" s="29">
        <v>0</v>
      </c>
      <c r="O85" s="29">
        <v>0</v>
      </c>
      <c r="P85" s="31"/>
      <c r="Q85" s="29">
        <f t="shared" si="26"/>
        <v>0</v>
      </c>
      <c r="R85" s="29"/>
      <c r="S85" s="29">
        <f>L85+Q85</f>
        <v>0</v>
      </c>
      <c r="T85" s="32" t="str">
        <f t="shared" si="27"/>
        <v/>
      </c>
      <c r="U85" s="597" t="str">
        <f t="shared" si="28"/>
        <v/>
      </c>
      <c r="V85" s="30"/>
      <c r="W85" s="29">
        <f>I85-V85</f>
        <v>0</v>
      </c>
      <c r="X85" s="38"/>
      <c r="Z85" s="21"/>
      <c r="AA85" s="13"/>
      <c r="AB85" s="29"/>
      <c r="AC85" s="34"/>
      <c r="AF85" s="29">
        <v>0</v>
      </c>
    </row>
    <row r="86" spans="3:32" ht="12" customHeight="1">
      <c r="C86" s="24" t="s">
        <v>978</v>
      </c>
      <c r="D86" s="24" t="s">
        <v>121</v>
      </c>
      <c r="E86" s="28" t="s">
        <v>122</v>
      </c>
      <c r="F86" s="29">
        <f>IFERROR(ROUND(VLOOKUP($E$4,'Outturn 2024-25'!$A:$DW,67,FALSE),2),0)</f>
        <v>0</v>
      </c>
      <c r="G86" s="30"/>
      <c r="H86" s="30"/>
      <c r="I86" s="173">
        <f t="shared" si="25"/>
        <v>0</v>
      </c>
      <c r="J86" s="29"/>
      <c r="K86" s="30"/>
      <c r="L86" s="29">
        <f t="shared" si="29"/>
        <v>0</v>
      </c>
      <c r="M86" s="31"/>
      <c r="N86" s="29">
        <v>0</v>
      </c>
      <c r="O86" s="29">
        <v>0</v>
      </c>
      <c r="P86" s="31"/>
      <c r="Q86" s="29">
        <f t="shared" si="26"/>
        <v>0</v>
      </c>
      <c r="R86" s="29"/>
      <c r="S86" s="29">
        <f>L86+Q86</f>
        <v>0</v>
      </c>
      <c r="T86" s="32" t="str">
        <f t="shared" si="27"/>
        <v/>
      </c>
      <c r="U86" s="597" t="str">
        <f t="shared" si="28"/>
        <v/>
      </c>
      <c r="V86" s="30"/>
      <c r="W86" s="29">
        <f>I86-V86</f>
        <v>0</v>
      </c>
      <c r="X86" s="38"/>
      <c r="Z86" s="21"/>
      <c r="AA86" s="13"/>
      <c r="AB86" s="29"/>
      <c r="AC86" s="34"/>
      <c r="AF86" s="29">
        <v>0</v>
      </c>
    </row>
    <row r="87" spans="3:32" ht="12" customHeight="1">
      <c r="C87" s="24" t="s">
        <v>988</v>
      </c>
      <c r="D87" s="24" t="s">
        <v>780</v>
      </c>
      <c r="E87" s="28" t="s">
        <v>787</v>
      </c>
      <c r="F87" s="29"/>
      <c r="G87" s="30"/>
      <c r="H87" s="30"/>
      <c r="I87" s="173">
        <f t="shared" si="25"/>
        <v>0</v>
      </c>
      <c r="J87" s="29"/>
      <c r="K87" s="30"/>
      <c r="L87" s="29">
        <f t="shared" si="29"/>
        <v>0</v>
      </c>
      <c r="M87" s="31"/>
      <c r="N87" s="29">
        <v>0</v>
      </c>
      <c r="O87" s="29">
        <v>0</v>
      </c>
      <c r="P87" s="31"/>
      <c r="Q87" s="29">
        <f t="shared" si="26"/>
        <v>0</v>
      </c>
      <c r="R87" s="29"/>
      <c r="S87" s="29">
        <f t="shared" ref="S87:S90" si="30">L87+Q87</f>
        <v>0</v>
      </c>
      <c r="T87" s="32" t="str">
        <f t="shared" si="27"/>
        <v/>
      </c>
      <c r="U87" s="597" t="str">
        <f t="shared" si="28"/>
        <v/>
      </c>
      <c r="V87" s="30"/>
      <c r="W87" s="29">
        <f t="shared" ref="W87:W91" si="31">I87-V87</f>
        <v>0</v>
      </c>
      <c r="X87" s="38"/>
      <c r="Z87" s="21"/>
      <c r="AA87" s="13"/>
      <c r="AB87" s="29"/>
      <c r="AC87" s="34"/>
      <c r="AF87" s="29"/>
    </row>
    <row r="88" spans="3:32" ht="12" customHeight="1">
      <c r="C88" s="24" t="s">
        <v>989</v>
      </c>
      <c r="D88" s="24" t="s">
        <v>781</v>
      </c>
      <c r="E88" s="28" t="s">
        <v>785</v>
      </c>
      <c r="F88" s="29"/>
      <c r="G88" s="30"/>
      <c r="H88" s="30"/>
      <c r="I88" s="173">
        <f t="shared" si="25"/>
        <v>0</v>
      </c>
      <c r="J88" s="29"/>
      <c r="K88" s="30"/>
      <c r="L88" s="29">
        <f t="shared" si="29"/>
        <v>0</v>
      </c>
      <c r="M88" s="31"/>
      <c r="N88" s="29">
        <v>0</v>
      </c>
      <c r="O88" s="29">
        <v>0</v>
      </c>
      <c r="P88" s="31"/>
      <c r="Q88" s="29">
        <f t="shared" si="26"/>
        <v>0</v>
      </c>
      <c r="R88" s="29"/>
      <c r="S88" s="29">
        <f t="shared" si="30"/>
        <v>0</v>
      </c>
      <c r="T88" s="32" t="str">
        <f t="shared" si="27"/>
        <v/>
      </c>
      <c r="U88" s="597" t="str">
        <f t="shared" si="28"/>
        <v/>
      </c>
      <c r="V88" s="30"/>
      <c r="W88" s="29">
        <f t="shared" si="31"/>
        <v>0</v>
      </c>
      <c r="X88" s="38"/>
      <c r="Z88" s="21"/>
      <c r="AA88" s="13"/>
      <c r="AB88" s="29"/>
      <c r="AC88" s="34"/>
      <c r="AF88" s="29"/>
    </row>
    <row r="89" spans="3:32" ht="12" customHeight="1">
      <c r="C89" s="24" t="s">
        <v>990</v>
      </c>
      <c r="D89" s="24" t="s">
        <v>782</v>
      </c>
      <c r="E89" s="28" t="s">
        <v>788</v>
      </c>
      <c r="F89" s="29"/>
      <c r="G89" s="30"/>
      <c r="H89" s="30"/>
      <c r="I89" s="173">
        <f t="shared" si="25"/>
        <v>0</v>
      </c>
      <c r="J89" s="29"/>
      <c r="K89" s="30"/>
      <c r="L89" s="29">
        <f t="shared" si="29"/>
        <v>0</v>
      </c>
      <c r="M89" s="31"/>
      <c r="N89" s="29">
        <v>0</v>
      </c>
      <c r="O89" s="29">
        <v>0</v>
      </c>
      <c r="P89" s="31"/>
      <c r="Q89" s="29">
        <f t="shared" si="26"/>
        <v>0</v>
      </c>
      <c r="R89" s="29"/>
      <c r="S89" s="29">
        <f t="shared" si="30"/>
        <v>0</v>
      </c>
      <c r="T89" s="32" t="str">
        <f t="shared" si="27"/>
        <v/>
      </c>
      <c r="U89" s="597" t="str">
        <f t="shared" si="28"/>
        <v/>
      </c>
      <c r="V89" s="30"/>
      <c r="W89" s="29">
        <f t="shared" si="31"/>
        <v>0</v>
      </c>
      <c r="X89" s="38"/>
      <c r="Z89" s="21"/>
      <c r="AA89" s="13"/>
      <c r="AB89" s="29"/>
      <c r="AC89" s="34"/>
      <c r="AF89" s="29"/>
    </row>
    <row r="90" spans="3:32" ht="12" customHeight="1">
      <c r="C90" s="24" t="s">
        <v>991</v>
      </c>
      <c r="D90" s="24" t="s">
        <v>783</v>
      </c>
      <c r="E90" s="28" t="s">
        <v>792</v>
      </c>
      <c r="F90" s="29"/>
      <c r="G90" s="30"/>
      <c r="H90" s="30"/>
      <c r="I90" s="173">
        <f t="shared" si="25"/>
        <v>0</v>
      </c>
      <c r="J90" s="29"/>
      <c r="K90" s="30"/>
      <c r="L90" s="29">
        <f t="shared" si="29"/>
        <v>0</v>
      </c>
      <c r="M90" s="31"/>
      <c r="N90" s="29">
        <v>0</v>
      </c>
      <c r="O90" s="29">
        <v>0</v>
      </c>
      <c r="P90" s="31"/>
      <c r="Q90" s="29">
        <f t="shared" si="26"/>
        <v>0</v>
      </c>
      <c r="R90" s="29"/>
      <c r="S90" s="29">
        <f t="shared" si="30"/>
        <v>0</v>
      </c>
      <c r="T90" s="32" t="str">
        <f t="shared" si="27"/>
        <v/>
      </c>
      <c r="U90" s="597" t="str">
        <f t="shared" si="28"/>
        <v/>
      </c>
      <c r="V90" s="30"/>
      <c r="W90" s="29">
        <f t="shared" si="31"/>
        <v>0</v>
      </c>
      <c r="X90" s="38"/>
      <c r="Z90" s="21"/>
      <c r="AA90" s="13"/>
      <c r="AB90" s="29"/>
      <c r="AC90" s="34"/>
      <c r="AF90" s="29"/>
    </row>
    <row r="91" spans="3:32" ht="12" customHeight="1">
      <c r="C91" s="24" t="s">
        <v>992</v>
      </c>
      <c r="D91" s="24" t="s">
        <v>784</v>
      </c>
      <c r="E91" s="28" t="s">
        <v>790</v>
      </c>
      <c r="F91" s="29">
        <f>IFERROR(ROUND(VLOOKUP($E$4,'Outturn 2024-25'!$A:$DW,68,FALSE),2),0)</f>
        <v>0</v>
      </c>
      <c r="G91" s="30"/>
      <c r="H91" s="30"/>
      <c r="I91" s="173">
        <f t="shared" si="25"/>
        <v>0</v>
      </c>
      <c r="J91" s="29"/>
      <c r="K91" s="30"/>
      <c r="L91" s="29">
        <f>J91+K91</f>
        <v>0</v>
      </c>
      <c r="M91" s="31"/>
      <c r="N91" s="29">
        <v>0</v>
      </c>
      <c r="O91" s="29">
        <v>0</v>
      </c>
      <c r="P91" s="31"/>
      <c r="Q91" s="29">
        <f t="shared" si="26"/>
        <v>0</v>
      </c>
      <c r="R91" s="29"/>
      <c r="S91" s="29">
        <f>L91+Q91</f>
        <v>0</v>
      </c>
      <c r="T91" s="32" t="str">
        <f t="shared" si="27"/>
        <v/>
      </c>
      <c r="U91" s="597" t="str">
        <f t="shared" si="28"/>
        <v/>
      </c>
      <c r="V91" s="30"/>
      <c r="W91" s="29">
        <f t="shared" si="31"/>
        <v>0</v>
      </c>
      <c r="X91" s="38"/>
      <c r="Z91" s="21"/>
      <c r="AA91" s="13"/>
      <c r="AB91" s="29"/>
      <c r="AC91" s="34"/>
      <c r="AF91" s="29">
        <v>0</v>
      </c>
    </row>
    <row r="92" spans="3:32">
      <c r="D92" s="697" t="s">
        <v>125</v>
      </c>
      <c r="E92" s="698"/>
      <c r="F92" s="18">
        <f t="shared" ref="F92:Q92" si="32">SUM(F84:F91)</f>
        <v>0</v>
      </c>
      <c r="G92" s="174">
        <f t="shared" si="32"/>
        <v>0</v>
      </c>
      <c r="H92" s="18">
        <f t="shared" si="32"/>
        <v>0</v>
      </c>
      <c r="I92" s="18">
        <f t="shared" si="32"/>
        <v>0</v>
      </c>
      <c r="J92" s="18">
        <f t="shared" si="32"/>
        <v>0</v>
      </c>
      <c r="K92" s="18">
        <f t="shared" si="32"/>
        <v>0</v>
      </c>
      <c r="L92" s="18">
        <f t="shared" si="32"/>
        <v>0</v>
      </c>
      <c r="M92" s="18">
        <f t="shared" si="32"/>
        <v>0</v>
      </c>
      <c r="N92" s="18">
        <f t="shared" si="32"/>
        <v>0</v>
      </c>
      <c r="O92" s="18">
        <f t="shared" si="32"/>
        <v>0</v>
      </c>
      <c r="P92" s="18">
        <f t="shared" si="32"/>
        <v>0</v>
      </c>
      <c r="Q92" s="18">
        <f t="shared" si="32"/>
        <v>0</v>
      </c>
      <c r="R92" s="18"/>
      <c r="S92" s="18">
        <f>SUM(S84:S91)</f>
        <v>0</v>
      </c>
      <c r="T92" s="18">
        <f>SUM(T84:T91)</f>
        <v>0</v>
      </c>
      <c r="U92" s="598"/>
      <c r="V92" s="18">
        <f>SUM(V84:V91)</f>
        <v>0</v>
      </c>
      <c r="W92" s="18">
        <f>SUM(W84:W91)</f>
        <v>0</v>
      </c>
      <c r="X92" s="20"/>
      <c r="AA92" s="13"/>
      <c r="AB92" s="18">
        <v>0</v>
      </c>
      <c r="AC92" s="23"/>
      <c r="AF92" s="18">
        <v>0</v>
      </c>
    </row>
    <row r="93" spans="3:32" ht="12" customHeight="1">
      <c r="D93" s="51"/>
      <c r="E93" s="41"/>
      <c r="F93" s="62"/>
      <c r="G93" s="181"/>
      <c r="H93" s="58"/>
      <c r="I93" s="58"/>
      <c r="J93" s="63"/>
      <c r="K93" s="58"/>
      <c r="L93" s="58"/>
      <c r="M93" s="58"/>
      <c r="N93" s="58"/>
      <c r="O93" s="58"/>
      <c r="P93" s="58"/>
      <c r="Q93" s="58"/>
      <c r="R93" s="58"/>
      <c r="S93" s="58"/>
      <c r="T93" s="58"/>
      <c r="U93" s="600"/>
      <c r="V93" s="58"/>
      <c r="W93" s="58"/>
      <c r="X93" s="46"/>
      <c r="Z93" s="21"/>
      <c r="AA93" s="22"/>
      <c r="AB93" s="58"/>
      <c r="AC93" s="58"/>
      <c r="AF93" s="58"/>
    </row>
    <row r="94" spans="3:32">
      <c r="D94" s="697" t="s">
        <v>126</v>
      </c>
      <c r="E94" s="698"/>
      <c r="F94" s="18">
        <f t="shared" ref="F94:Q94" si="33">F82-F92</f>
        <v>0</v>
      </c>
      <c r="G94" s="174">
        <f t="shared" si="33"/>
        <v>0</v>
      </c>
      <c r="H94" s="18">
        <f t="shared" si="33"/>
        <v>0</v>
      </c>
      <c r="I94" s="18">
        <f t="shared" si="33"/>
        <v>0</v>
      </c>
      <c r="J94" s="18">
        <f t="shared" si="33"/>
        <v>0</v>
      </c>
      <c r="K94" s="18">
        <f t="shared" si="33"/>
        <v>0</v>
      </c>
      <c r="L94" s="18">
        <f t="shared" si="33"/>
        <v>0</v>
      </c>
      <c r="M94" s="18">
        <f t="shared" si="33"/>
        <v>0</v>
      </c>
      <c r="N94" s="18">
        <f t="shared" si="33"/>
        <v>0</v>
      </c>
      <c r="O94" s="18">
        <f t="shared" si="33"/>
        <v>0</v>
      </c>
      <c r="P94" s="18">
        <f t="shared" si="33"/>
        <v>0</v>
      </c>
      <c r="Q94" s="18">
        <f t="shared" si="33"/>
        <v>0</v>
      </c>
      <c r="R94" s="18"/>
      <c r="S94" s="18">
        <f>S82-S92</f>
        <v>0</v>
      </c>
      <c r="T94" s="18"/>
      <c r="U94" s="598"/>
      <c r="V94" s="18">
        <f>V82-V92</f>
        <v>0</v>
      </c>
      <c r="W94" s="18">
        <f>W82-W92</f>
        <v>0</v>
      </c>
      <c r="X94" s="45"/>
      <c r="AA94" s="13"/>
      <c r="AB94" s="18">
        <v>0</v>
      </c>
      <c r="AC94" s="23"/>
      <c r="AF94" s="18">
        <v>0</v>
      </c>
    </row>
    <row r="95" spans="3:32">
      <c r="D95" s="64"/>
      <c r="E95" s="41"/>
      <c r="F95" s="65"/>
      <c r="G95" s="182"/>
      <c r="H95" s="58"/>
      <c r="I95" s="58"/>
      <c r="J95" s="63"/>
      <c r="K95" s="58"/>
      <c r="L95" s="58"/>
      <c r="M95" s="58"/>
      <c r="N95" s="58"/>
      <c r="O95" s="58"/>
      <c r="P95" s="58"/>
      <c r="Q95" s="58"/>
      <c r="R95" s="58"/>
      <c r="S95" s="58"/>
      <c r="T95" s="58"/>
      <c r="U95" s="600"/>
      <c r="V95" s="58"/>
      <c r="W95" s="58"/>
      <c r="X95" s="46"/>
      <c r="Z95" s="21"/>
      <c r="AA95" s="22"/>
      <c r="AB95" s="58"/>
      <c r="AC95" s="58"/>
      <c r="AF95" s="58"/>
    </row>
    <row r="96" spans="3:32">
      <c r="D96" s="697" t="s">
        <v>127</v>
      </c>
      <c r="E96" s="698"/>
      <c r="F96" s="18">
        <f t="shared" ref="F96:Q96" si="34">F77+F94</f>
        <v>0</v>
      </c>
      <c r="G96" s="174">
        <f t="shared" si="34"/>
        <v>0</v>
      </c>
      <c r="H96" s="18">
        <f t="shared" si="34"/>
        <v>0</v>
      </c>
      <c r="I96" s="18">
        <f t="shared" si="34"/>
        <v>0</v>
      </c>
      <c r="J96" s="18">
        <f t="shared" si="34"/>
        <v>0</v>
      </c>
      <c r="K96" s="18">
        <f t="shared" si="34"/>
        <v>0</v>
      </c>
      <c r="L96" s="18">
        <f t="shared" si="34"/>
        <v>0</v>
      </c>
      <c r="M96" s="18">
        <f t="shared" si="34"/>
        <v>0</v>
      </c>
      <c r="N96" s="18">
        <f t="shared" si="34"/>
        <v>0</v>
      </c>
      <c r="O96" s="18">
        <f t="shared" si="34"/>
        <v>0</v>
      </c>
      <c r="P96" s="18">
        <f t="shared" si="34"/>
        <v>0</v>
      </c>
      <c r="Q96" s="18">
        <f t="shared" si="34"/>
        <v>0</v>
      </c>
      <c r="R96" s="18"/>
      <c r="S96" s="18">
        <f>S77+S94</f>
        <v>0</v>
      </c>
      <c r="T96" s="18">
        <f>T77+T94</f>
        <v>0</v>
      </c>
      <c r="U96" s="598"/>
      <c r="V96" s="18">
        <f>V77+V94</f>
        <v>0</v>
      </c>
      <c r="W96" s="18">
        <f>W77+W94</f>
        <v>0</v>
      </c>
      <c r="X96" s="45"/>
      <c r="AA96" s="13"/>
      <c r="AB96" s="18">
        <v>0</v>
      </c>
      <c r="AC96" s="23"/>
      <c r="AF96" s="18">
        <v>0</v>
      </c>
    </row>
    <row r="97" spans="3:32">
      <c r="U97" s="603"/>
    </row>
    <row r="98" spans="3:32" ht="18">
      <c r="D98" s="51" t="s">
        <v>128</v>
      </c>
      <c r="F98" s="52"/>
      <c r="G98" s="176"/>
      <c r="H98" s="27"/>
      <c r="I98" s="27"/>
      <c r="J98" s="27"/>
      <c r="K98" s="27"/>
      <c r="L98" s="27"/>
      <c r="M98" s="27"/>
      <c r="N98" s="27"/>
      <c r="O98" s="27"/>
      <c r="P98" s="27"/>
      <c r="Q98" s="27"/>
      <c r="R98" s="27"/>
      <c r="S98" s="27"/>
      <c r="T98" s="27"/>
      <c r="U98" s="600"/>
      <c r="V98" s="27"/>
      <c r="W98" s="27"/>
      <c r="X98" s="46"/>
      <c r="Z98" s="21"/>
      <c r="AA98" s="22"/>
      <c r="AB98" s="27"/>
      <c r="AC98" s="27"/>
      <c r="AF98" s="27"/>
    </row>
    <row r="99" spans="3:32" ht="12" customHeight="1">
      <c r="D99" s="51"/>
      <c r="F99" s="52"/>
      <c r="G99" s="176"/>
      <c r="H99" s="27"/>
      <c r="I99" s="27"/>
      <c r="J99" s="27"/>
      <c r="K99" s="27"/>
      <c r="L99" s="27"/>
      <c r="M99" s="27"/>
      <c r="N99" s="27"/>
      <c r="O99" s="27"/>
      <c r="P99" s="27"/>
      <c r="Q99" s="27"/>
      <c r="R99" s="27"/>
      <c r="S99" s="27"/>
      <c r="T99" s="27"/>
      <c r="U99" s="600"/>
      <c r="V99" s="27"/>
      <c r="W99" s="27"/>
      <c r="X99" s="46"/>
      <c r="Z99" s="21"/>
      <c r="AA99" s="22"/>
      <c r="AB99" s="27"/>
      <c r="AC99" s="27"/>
      <c r="AF99" s="27"/>
    </row>
    <row r="100" spans="3:32">
      <c r="D100" s="697" t="s">
        <v>129</v>
      </c>
      <c r="E100" s="698"/>
      <c r="F100" s="18">
        <f>IFERROR(ROUND(VLOOKUP($E$4,'Outturn 2024-25'!$A:$DW,85,FALSE),2),0)</f>
        <v>0</v>
      </c>
      <c r="G100" s="174"/>
      <c r="H100" s="18"/>
      <c r="I100" s="18"/>
      <c r="J100" s="18"/>
      <c r="K100" s="18"/>
      <c r="L100" s="18"/>
      <c r="M100" s="18"/>
      <c r="N100" s="18"/>
      <c r="O100" s="18"/>
      <c r="P100" s="18"/>
      <c r="Q100" s="18"/>
      <c r="R100" s="18"/>
      <c r="S100" s="18"/>
      <c r="T100" s="19"/>
      <c r="U100" s="598"/>
      <c r="V100" s="18"/>
      <c r="W100" s="19"/>
      <c r="X100" s="20"/>
      <c r="AA100" s="13"/>
      <c r="AB100" s="18">
        <v>0</v>
      </c>
      <c r="AC100" s="23"/>
      <c r="AF100" s="18">
        <v>0</v>
      </c>
    </row>
    <row r="101" spans="3:32">
      <c r="D101" s="64"/>
      <c r="E101" s="25" t="s">
        <v>130</v>
      </c>
      <c r="F101" s="57"/>
      <c r="G101" s="179"/>
      <c r="H101" s="57"/>
      <c r="I101" s="57"/>
      <c r="J101" s="57"/>
      <c r="K101" s="57"/>
      <c r="L101" s="57"/>
      <c r="M101" s="57"/>
      <c r="N101" s="57"/>
      <c r="O101" s="57"/>
      <c r="P101" s="57"/>
      <c r="Q101" s="57"/>
      <c r="R101" s="57"/>
      <c r="S101" s="57"/>
      <c r="T101" s="32"/>
      <c r="U101" s="597"/>
      <c r="V101" s="57"/>
      <c r="W101" s="32"/>
      <c r="X101" s="26"/>
      <c r="Z101" s="21"/>
      <c r="AA101" s="22"/>
      <c r="AB101" s="57"/>
      <c r="AC101" s="58"/>
      <c r="AF101" s="57"/>
    </row>
    <row r="102" spans="3:32" ht="12" customHeight="1">
      <c r="C102" s="64" t="s">
        <v>958</v>
      </c>
      <c r="D102" s="24" t="s">
        <v>131</v>
      </c>
      <c r="E102" s="28" t="s">
        <v>132</v>
      </c>
      <c r="F102" s="29">
        <f>IFERROR(ROUND(VLOOKUP($E$4,'Outturn 2024-25'!$A:$DW,73,FALSE),2),0)</f>
        <v>0</v>
      </c>
      <c r="G102" s="30"/>
      <c r="H102" s="30"/>
      <c r="I102" s="173">
        <f t="shared" ref="I102:I103" si="35">G102+H102</f>
        <v>0</v>
      </c>
      <c r="J102" s="29"/>
      <c r="K102" s="30"/>
      <c r="L102" s="29">
        <f t="shared" ref="L102:L103" si="36">J102+K102</f>
        <v>0</v>
      </c>
      <c r="M102" s="29">
        <v>0</v>
      </c>
      <c r="N102" s="31"/>
      <c r="O102" s="31"/>
      <c r="P102" s="29">
        <v>0</v>
      </c>
      <c r="Q102" s="29">
        <f>P102+M102</f>
        <v>0</v>
      </c>
      <c r="R102" s="29"/>
      <c r="S102" s="29">
        <f>L102+Q102</f>
        <v>0</v>
      </c>
      <c r="T102" s="32" t="str">
        <f t="shared" ref="T102:T103" si="37">IFERROR((S102/G102),"")</f>
        <v/>
      </c>
      <c r="U102" s="597" t="str">
        <f t="shared" ref="U102:U103" si="38">IFERROR(+S102/$S$69,"")</f>
        <v/>
      </c>
      <c r="V102" s="30"/>
      <c r="W102" s="29">
        <f>I102-V102</f>
        <v>0</v>
      </c>
      <c r="X102" s="33"/>
      <c r="Z102" s="21"/>
      <c r="AA102" s="22"/>
      <c r="AB102" s="29"/>
      <c r="AC102" s="34"/>
      <c r="AF102" s="29">
        <v>0</v>
      </c>
    </row>
    <row r="103" spans="3:32" ht="12" customHeight="1">
      <c r="C103" s="64" t="s">
        <v>959</v>
      </c>
      <c r="D103" s="24" t="s">
        <v>133</v>
      </c>
      <c r="E103" s="28" t="s">
        <v>134</v>
      </c>
      <c r="F103" s="29">
        <f>IFERROR(ROUND(VLOOKUP($E$4,'Outturn 2024-25'!$A:$DW,74,FALSE),2),0)</f>
        <v>0</v>
      </c>
      <c r="G103" s="30"/>
      <c r="H103" s="30"/>
      <c r="I103" s="173">
        <f t="shared" si="35"/>
        <v>0</v>
      </c>
      <c r="J103" s="29"/>
      <c r="K103" s="30"/>
      <c r="L103" s="29">
        <f t="shared" si="36"/>
        <v>0</v>
      </c>
      <c r="M103" s="29">
        <v>0</v>
      </c>
      <c r="N103" s="31"/>
      <c r="O103" s="31"/>
      <c r="P103" s="29">
        <v>0</v>
      </c>
      <c r="Q103" s="29">
        <f>P103+M103</f>
        <v>0</v>
      </c>
      <c r="R103" s="29"/>
      <c r="S103" s="29">
        <f>L103+Q103</f>
        <v>0</v>
      </c>
      <c r="T103" s="32" t="str">
        <f t="shared" si="37"/>
        <v/>
      </c>
      <c r="U103" s="597" t="str">
        <f t="shared" si="38"/>
        <v/>
      </c>
      <c r="V103" s="30"/>
      <c r="W103" s="29">
        <f>I103-V103</f>
        <v>0</v>
      </c>
      <c r="X103" s="33"/>
      <c r="Z103" s="21"/>
      <c r="AA103" s="22"/>
      <c r="AB103" s="29"/>
      <c r="AC103" s="34"/>
      <c r="AF103" s="29">
        <v>0</v>
      </c>
    </row>
    <row r="104" spans="3:32">
      <c r="D104" s="697" t="s">
        <v>135</v>
      </c>
      <c r="E104" s="698"/>
      <c r="F104" s="18">
        <f>SUM(F102:F103)</f>
        <v>0</v>
      </c>
      <c r="G104" s="174">
        <f>SUM(G102:G103)</f>
        <v>0</v>
      </c>
      <c r="H104" s="18">
        <f>SUM(H102:H103)</f>
        <v>0</v>
      </c>
      <c r="I104" s="18"/>
      <c r="J104" s="18">
        <f t="shared" ref="J104:Q104" si="39">SUM(J102:J103)</f>
        <v>0</v>
      </c>
      <c r="K104" s="18">
        <f t="shared" si="39"/>
        <v>0</v>
      </c>
      <c r="L104" s="18">
        <f t="shared" si="39"/>
        <v>0</v>
      </c>
      <c r="M104" s="18">
        <f t="shared" si="39"/>
        <v>0</v>
      </c>
      <c r="N104" s="18">
        <f t="shared" si="39"/>
        <v>0</v>
      </c>
      <c r="O104" s="18">
        <f t="shared" si="39"/>
        <v>0</v>
      </c>
      <c r="P104" s="18">
        <f t="shared" si="39"/>
        <v>0</v>
      </c>
      <c r="Q104" s="18">
        <f t="shared" si="39"/>
        <v>0</v>
      </c>
      <c r="R104" s="18"/>
      <c r="S104" s="18">
        <f>SUM(S102:S103)</f>
        <v>0</v>
      </c>
      <c r="T104" s="18">
        <f>SUM(T102:T103)</f>
        <v>0</v>
      </c>
      <c r="U104" s="598"/>
      <c r="V104" s="18">
        <f>SUM(V102:V103)</f>
        <v>0</v>
      </c>
      <c r="W104" s="18"/>
      <c r="X104" s="20"/>
      <c r="AA104" s="13"/>
      <c r="AB104" s="18">
        <v>0</v>
      </c>
      <c r="AC104" s="23"/>
      <c r="AF104" s="18">
        <v>0</v>
      </c>
    </row>
    <row r="105" spans="3:32">
      <c r="D105" s="64"/>
      <c r="E105" s="25" t="s">
        <v>136</v>
      </c>
      <c r="F105" s="57"/>
      <c r="G105" s="179"/>
      <c r="H105" s="57"/>
      <c r="I105" s="57"/>
      <c r="J105" s="57"/>
      <c r="K105" s="57"/>
      <c r="L105" s="57"/>
      <c r="M105" s="57"/>
      <c r="N105" s="57"/>
      <c r="O105" s="57"/>
      <c r="P105" s="57"/>
      <c r="Q105" s="57"/>
      <c r="R105" s="57"/>
      <c r="S105" s="57"/>
      <c r="T105" s="57" t="str">
        <f>IFERROR((S105/I105),"")</f>
        <v/>
      </c>
      <c r="U105" s="604"/>
      <c r="V105" s="57"/>
      <c r="W105" s="57"/>
      <c r="X105" s="26"/>
      <c r="AA105" s="13"/>
      <c r="AB105" s="57"/>
      <c r="AC105" s="58"/>
      <c r="AF105" s="57"/>
    </row>
    <row r="106" spans="3:32" ht="12" customHeight="1">
      <c r="C106" s="64" t="s">
        <v>935</v>
      </c>
      <c r="D106" s="24" t="s">
        <v>137</v>
      </c>
      <c r="E106" s="28" t="s">
        <v>138</v>
      </c>
      <c r="F106" s="29">
        <f>IFERROR(ROUND(VLOOKUP($E$4,'Outturn 2024-25'!$A:$DW,76,FALSE),2),0)</f>
        <v>0</v>
      </c>
      <c r="G106" s="30"/>
      <c r="H106" s="30"/>
      <c r="I106" s="173">
        <f t="shared" ref="I106:I107" si="40">G106+H106</f>
        <v>0</v>
      </c>
      <c r="J106" s="29"/>
      <c r="K106" s="30"/>
      <c r="L106" s="29">
        <f t="shared" ref="L106:L107" si="41">J106+K106</f>
        <v>0</v>
      </c>
      <c r="M106" s="31"/>
      <c r="N106" s="29">
        <v>0</v>
      </c>
      <c r="O106" s="29">
        <v>0</v>
      </c>
      <c r="P106" s="31"/>
      <c r="Q106" s="29">
        <f>O106+N106</f>
        <v>0</v>
      </c>
      <c r="R106" s="29"/>
      <c r="S106" s="29">
        <f>L106+Q106</f>
        <v>0</v>
      </c>
      <c r="T106" s="32" t="str">
        <f t="shared" ref="T106:T107" si="42">IFERROR((S106/G106),"")</f>
        <v/>
      </c>
      <c r="U106" s="597" t="str">
        <f t="shared" ref="U106:U107" si="43">IFERROR(+S106/$S$69,"")</f>
        <v/>
      </c>
      <c r="V106" s="30"/>
      <c r="W106" s="29">
        <f>I106-V106</f>
        <v>0</v>
      </c>
      <c r="X106" s="38"/>
      <c r="Z106" s="21"/>
      <c r="AA106" s="22"/>
      <c r="AB106" s="29"/>
      <c r="AC106" s="34"/>
      <c r="AF106" s="29">
        <v>0</v>
      </c>
    </row>
    <row r="107" spans="3:32" ht="12" customHeight="1">
      <c r="C107" s="64" t="s">
        <v>936</v>
      </c>
      <c r="D107" s="24" t="s">
        <v>139</v>
      </c>
      <c r="E107" s="28" t="s">
        <v>140</v>
      </c>
      <c r="F107" s="29">
        <f>IFERROR(ROUND(VLOOKUP($E$4,'Outturn 2024-25'!$A:$DW,77,FALSE),2),0)</f>
        <v>0</v>
      </c>
      <c r="G107" s="30"/>
      <c r="H107" s="30"/>
      <c r="I107" s="173">
        <f t="shared" si="40"/>
        <v>0</v>
      </c>
      <c r="J107" s="29"/>
      <c r="K107" s="30"/>
      <c r="L107" s="29">
        <f t="shared" si="41"/>
        <v>0</v>
      </c>
      <c r="M107" s="31"/>
      <c r="N107" s="29">
        <v>0</v>
      </c>
      <c r="O107" s="29">
        <v>0</v>
      </c>
      <c r="P107" s="31"/>
      <c r="Q107" s="29">
        <f>O107+N107</f>
        <v>0</v>
      </c>
      <c r="R107" s="29"/>
      <c r="S107" s="29">
        <f>L107+Q107</f>
        <v>0</v>
      </c>
      <c r="T107" s="32" t="str">
        <f t="shared" si="42"/>
        <v/>
      </c>
      <c r="U107" s="597" t="str">
        <f t="shared" si="43"/>
        <v/>
      </c>
      <c r="V107" s="30"/>
      <c r="W107" s="29">
        <f>I107-V107</f>
        <v>0</v>
      </c>
      <c r="X107" s="38"/>
      <c r="Z107" s="21"/>
      <c r="AA107" s="22"/>
      <c r="AB107" s="29"/>
      <c r="AC107" s="34"/>
      <c r="AF107" s="29">
        <v>0</v>
      </c>
    </row>
    <row r="108" spans="3:32">
      <c r="D108" s="697" t="s">
        <v>141</v>
      </c>
      <c r="E108" s="698" t="s">
        <v>141</v>
      </c>
      <c r="F108" s="18">
        <f t="shared" ref="F108:Q108" si="44">SUM(F106:F107)</f>
        <v>0</v>
      </c>
      <c r="G108" s="174">
        <f t="shared" si="44"/>
        <v>0</v>
      </c>
      <c r="H108" s="18">
        <f t="shared" si="44"/>
        <v>0</v>
      </c>
      <c r="I108" s="18">
        <f t="shared" si="44"/>
        <v>0</v>
      </c>
      <c r="J108" s="18">
        <f t="shared" si="44"/>
        <v>0</v>
      </c>
      <c r="K108" s="18">
        <f t="shared" si="44"/>
        <v>0</v>
      </c>
      <c r="L108" s="18">
        <f t="shared" si="44"/>
        <v>0</v>
      </c>
      <c r="M108" s="18">
        <f t="shared" si="44"/>
        <v>0</v>
      </c>
      <c r="N108" s="18">
        <f t="shared" si="44"/>
        <v>0</v>
      </c>
      <c r="O108" s="18">
        <f t="shared" si="44"/>
        <v>0</v>
      </c>
      <c r="P108" s="18">
        <f t="shared" si="44"/>
        <v>0</v>
      </c>
      <c r="Q108" s="18">
        <f t="shared" si="44"/>
        <v>0</v>
      </c>
      <c r="R108" s="18"/>
      <c r="S108" s="18">
        <f>SUM(S106:S107)</f>
        <v>0</v>
      </c>
      <c r="T108" s="18">
        <f>SUM(T106:T107)</f>
        <v>0</v>
      </c>
      <c r="U108" s="598"/>
      <c r="V108" s="18">
        <f>SUM(V106:V107)</f>
        <v>0</v>
      </c>
      <c r="W108" s="18">
        <f>SUM(W106:W107)</f>
        <v>0</v>
      </c>
      <c r="X108" s="20"/>
      <c r="AA108" s="13"/>
      <c r="AB108" s="18">
        <v>0</v>
      </c>
      <c r="AC108" s="23"/>
      <c r="AF108" s="18">
        <v>0</v>
      </c>
    </row>
    <row r="109" spans="3:32">
      <c r="U109" s="603"/>
    </row>
    <row r="110" spans="3:32">
      <c r="D110" s="697" t="s">
        <v>142</v>
      </c>
      <c r="E110" s="698"/>
      <c r="F110" s="18">
        <f t="shared" ref="F110:Q110" si="45">F104-F108</f>
        <v>0</v>
      </c>
      <c r="G110" s="174">
        <f t="shared" si="45"/>
        <v>0</v>
      </c>
      <c r="H110" s="18">
        <f t="shared" si="45"/>
        <v>0</v>
      </c>
      <c r="I110" s="18">
        <f t="shared" si="45"/>
        <v>0</v>
      </c>
      <c r="J110" s="18">
        <f t="shared" si="45"/>
        <v>0</v>
      </c>
      <c r="K110" s="18">
        <f t="shared" si="45"/>
        <v>0</v>
      </c>
      <c r="L110" s="18">
        <f t="shared" si="45"/>
        <v>0</v>
      </c>
      <c r="M110" s="18">
        <f t="shared" si="45"/>
        <v>0</v>
      </c>
      <c r="N110" s="18">
        <f t="shared" si="45"/>
        <v>0</v>
      </c>
      <c r="O110" s="18">
        <f t="shared" si="45"/>
        <v>0</v>
      </c>
      <c r="P110" s="18">
        <f t="shared" si="45"/>
        <v>0</v>
      </c>
      <c r="Q110" s="18">
        <f t="shared" si="45"/>
        <v>0</v>
      </c>
      <c r="R110" s="18"/>
      <c r="S110" s="18">
        <f>S104-S108</f>
        <v>0</v>
      </c>
      <c r="T110" s="18">
        <f>T104-T108</f>
        <v>0</v>
      </c>
      <c r="U110" s="598"/>
      <c r="V110" s="18">
        <f>V104-V108</f>
        <v>0</v>
      </c>
      <c r="W110" s="18">
        <f>W104-W108</f>
        <v>0</v>
      </c>
      <c r="X110" s="45"/>
      <c r="AA110" s="13"/>
      <c r="AB110" s="18">
        <v>0</v>
      </c>
      <c r="AC110" s="23"/>
      <c r="AF110" s="18">
        <v>0</v>
      </c>
    </row>
    <row r="111" spans="3:32">
      <c r="D111" s="64"/>
      <c r="E111" s="28"/>
      <c r="F111" s="56"/>
      <c r="G111" s="180"/>
      <c r="H111" s="56"/>
      <c r="I111" s="56"/>
      <c r="J111" s="56"/>
      <c r="K111" s="56"/>
      <c r="L111" s="56"/>
      <c r="M111" s="56"/>
      <c r="N111" s="56"/>
      <c r="O111" s="56"/>
      <c r="P111" s="56"/>
      <c r="Q111" s="56"/>
      <c r="R111" s="56"/>
      <c r="S111" s="56"/>
      <c r="T111" s="56"/>
      <c r="U111" s="599"/>
      <c r="V111" s="56"/>
      <c r="W111" s="56"/>
      <c r="X111" s="26"/>
      <c r="Z111" s="21"/>
      <c r="AA111" s="22"/>
      <c r="AB111" s="56"/>
      <c r="AC111" s="59"/>
      <c r="AF111" s="56"/>
    </row>
    <row r="112" spans="3:32">
      <c r="D112" s="697" t="s">
        <v>143</v>
      </c>
      <c r="E112" s="698"/>
      <c r="F112" s="18">
        <f t="shared" ref="F112:Q112" si="46">F100+F110</f>
        <v>0</v>
      </c>
      <c r="G112" s="174">
        <f t="shared" si="46"/>
        <v>0</v>
      </c>
      <c r="H112" s="18">
        <f t="shared" si="46"/>
        <v>0</v>
      </c>
      <c r="I112" s="18">
        <f t="shared" si="46"/>
        <v>0</v>
      </c>
      <c r="J112" s="18">
        <f t="shared" si="46"/>
        <v>0</v>
      </c>
      <c r="K112" s="18">
        <f t="shared" si="46"/>
        <v>0</v>
      </c>
      <c r="L112" s="18">
        <f t="shared" si="46"/>
        <v>0</v>
      </c>
      <c r="M112" s="18">
        <f t="shared" si="46"/>
        <v>0</v>
      </c>
      <c r="N112" s="18">
        <f t="shared" si="46"/>
        <v>0</v>
      </c>
      <c r="O112" s="18">
        <f t="shared" si="46"/>
        <v>0</v>
      </c>
      <c r="P112" s="18">
        <f t="shared" si="46"/>
        <v>0</v>
      </c>
      <c r="Q112" s="18">
        <f t="shared" si="46"/>
        <v>0</v>
      </c>
      <c r="R112" s="18"/>
      <c r="S112" s="18">
        <f>S100+S110</f>
        <v>0</v>
      </c>
      <c r="T112" s="18">
        <f>T100+T110</f>
        <v>0</v>
      </c>
      <c r="U112" s="598"/>
      <c r="V112" s="18">
        <f>V100+V110</f>
        <v>0</v>
      </c>
      <c r="W112" s="18">
        <f>W100+W110</f>
        <v>0</v>
      </c>
      <c r="X112" s="45"/>
      <c r="AA112" s="13"/>
      <c r="AB112" s="18">
        <v>0</v>
      </c>
      <c r="AC112" s="23"/>
      <c r="AF112" s="18">
        <v>0</v>
      </c>
    </row>
    <row r="113" spans="3:34">
      <c r="U113" s="603"/>
    </row>
    <row r="114" spans="3:34">
      <c r="U114" s="603"/>
    </row>
    <row r="115" spans="3:34">
      <c r="U115" s="603"/>
    </row>
    <row r="116" spans="3:34" ht="18">
      <c r="D116" s="51" t="s">
        <v>144</v>
      </c>
      <c r="E116" s="8"/>
      <c r="F116" s="27"/>
      <c r="G116" s="176"/>
      <c r="H116" s="27"/>
      <c r="I116" s="27"/>
      <c r="J116" s="27"/>
      <c r="K116" s="27"/>
      <c r="L116" s="27"/>
      <c r="M116" s="27"/>
      <c r="N116" s="27"/>
      <c r="O116" s="27"/>
      <c r="P116" s="27"/>
      <c r="Q116" s="27"/>
      <c r="R116" s="27"/>
      <c r="S116" s="27"/>
      <c r="T116" s="27"/>
      <c r="U116" s="600"/>
      <c r="V116" s="27"/>
      <c r="W116" s="27"/>
      <c r="X116" s="46"/>
      <c r="AA116" s="13"/>
      <c r="AB116" s="27"/>
      <c r="AC116" s="27"/>
      <c r="AF116" s="27"/>
    </row>
    <row r="117" spans="3:34" ht="18" hidden="1">
      <c r="D117" s="51"/>
      <c r="E117" s="8"/>
      <c r="F117" s="27"/>
      <c r="G117" s="176"/>
      <c r="H117" s="27"/>
      <c r="I117" s="27"/>
      <c r="J117" s="27"/>
      <c r="K117" s="27"/>
      <c r="L117" s="27"/>
      <c r="M117" s="27"/>
      <c r="N117" s="27"/>
      <c r="O117" s="27"/>
      <c r="P117" s="27"/>
      <c r="Q117" s="27"/>
      <c r="R117" s="27"/>
      <c r="S117" s="27"/>
      <c r="T117" s="27"/>
      <c r="U117" s="600"/>
      <c r="V117" s="27"/>
      <c r="W117" s="27"/>
      <c r="X117" s="46"/>
      <c r="AA117" s="13"/>
      <c r="AB117" s="27"/>
      <c r="AC117" s="27"/>
      <c r="AF117" s="27"/>
    </row>
    <row r="118" spans="3:34">
      <c r="D118" s="47"/>
      <c r="E118" s="66" t="s">
        <v>145</v>
      </c>
      <c r="F118" s="351"/>
      <c r="G118" s="352"/>
      <c r="H118" s="351"/>
      <c r="I118" s="351"/>
      <c r="J118" s="351"/>
      <c r="K118" s="351"/>
      <c r="L118" s="351"/>
      <c r="M118" s="351"/>
      <c r="N118" s="351"/>
      <c r="O118" s="351"/>
      <c r="P118" s="351"/>
      <c r="Q118" s="351"/>
      <c r="R118" s="351"/>
      <c r="S118" s="351"/>
      <c r="T118" s="351"/>
      <c r="U118" s="606"/>
      <c r="V118" s="351"/>
      <c r="W118" s="351"/>
      <c r="X118" s="351"/>
      <c r="AA118" s="13"/>
      <c r="AB118" s="61"/>
      <c r="AC118" s="52"/>
      <c r="AF118" s="61"/>
    </row>
    <row r="119" spans="3:34" ht="12" customHeight="1">
      <c r="C119" s="64"/>
      <c r="D119" s="24" t="s">
        <v>146</v>
      </c>
      <c r="E119" s="28" t="s">
        <v>147</v>
      </c>
      <c r="F119" s="607">
        <f>F73</f>
        <v>0</v>
      </c>
      <c r="G119" s="173">
        <f>G73</f>
        <v>0</v>
      </c>
      <c r="H119" s="173">
        <f>H73</f>
        <v>0</v>
      </c>
      <c r="I119" s="173">
        <f>G119+H119</f>
        <v>0</v>
      </c>
      <c r="J119" s="607">
        <f>J73</f>
        <v>0</v>
      </c>
      <c r="K119" s="173">
        <f>K73</f>
        <v>0</v>
      </c>
      <c r="L119" s="607">
        <f t="shared" ref="L119:L121" si="47">J119+K119</f>
        <v>0</v>
      </c>
      <c r="M119" s="607"/>
      <c r="N119" s="607"/>
      <c r="O119" s="607"/>
      <c r="P119" s="607"/>
      <c r="Q119" s="607">
        <f>Q73</f>
        <v>0</v>
      </c>
      <c r="R119" s="607"/>
      <c r="S119" s="607">
        <f>S73</f>
        <v>0</v>
      </c>
      <c r="T119" s="608" t="str">
        <f t="shared" ref="T119:T123" si="48">IFERROR((S119/G119),"")</f>
        <v/>
      </c>
      <c r="U119" s="609" t="str">
        <f>IFERROR(+S119/S30,"")</f>
        <v/>
      </c>
      <c r="V119" s="173">
        <f>V73</f>
        <v>0</v>
      </c>
      <c r="W119" s="173">
        <f>I119-V119</f>
        <v>0</v>
      </c>
      <c r="X119" s="38"/>
      <c r="AA119" s="13"/>
      <c r="AB119" s="29">
        <v>0</v>
      </c>
      <c r="AC119" s="34"/>
      <c r="AF119" s="29">
        <v>0</v>
      </c>
    </row>
    <row r="120" spans="3:34" ht="12" customHeight="1">
      <c r="C120" s="64"/>
      <c r="D120" s="24" t="s">
        <v>148</v>
      </c>
      <c r="E120" s="28" t="s">
        <v>149</v>
      </c>
      <c r="F120" s="607"/>
      <c r="G120" s="173"/>
      <c r="H120" s="173"/>
      <c r="I120" s="173">
        <f t="shared" ref="I120:I123" si="49">G120+H120</f>
        <v>0</v>
      </c>
      <c r="J120" s="607"/>
      <c r="K120" s="173"/>
      <c r="L120" s="607">
        <f t="shared" si="47"/>
        <v>0</v>
      </c>
      <c r="M120" s="607"/>
      <c r="N120" s="607"/>
      <c r="O120" s="607"/>
      <c r="P120" s="607"/>
      <c r="Q120" s="607"/>
      <c r="R120" s="607"/>
      <c r="S120" s="607"/>
      <c r="T120" s="608" t="str">
        <f t="shared" si="48"/>
        <v/>
      </c>
      <c r="U120" s="609"/>
      <c r="V120" s="173"/>
      <c r="W120" s="173">
        <f>I120-V120</f>
        <v>0</v>
      </c>
      <c r="X120" s="38"/>
      <c r="AA120" s="13"/>
      <c r="AB120" s="29"/>
      <c r="AC120" s="34"/>
      <c r="AF120" s="29">
        <v>0</v>
      </c>
    </row>
    <row r="121" spans="3:34" ht="12" customHeight="1">
      <c r="C121" s="64"/>
      <c r="D121" s="24" t="s">
        <v>150</v>
      </c>
      <c r="E121" s="28" t="s">
        <v>151</v>
      </c>
      <c r="F121" s="607">
        <f>F96</f>
        <v>0</v>
      </c>
      <c r="G121" s="173">
        <f>G96</f>
        <v>0</v>
      </c>
      <c r="H121" s="173">
        <f>H96</f>
        <v>0</v>
      </c>
      <c r="I121" s="173">
        <f t="shared" si="49"/>
        <v>0</v>
      </c>
      <c r="J121" s="607">
        <f>J96</f>
        <v>0</v>
      </c>
      <c r="K121" s="173">
        <f>K96</f>
        <v>0</v>
      </c>
      <c r="L121" s="607">
        <f t="shared" si="47"/>
        <v>0</v>
      </c>
      <c r="M121" s="607"/>
      <c r="N121" s="607"/>
      <c r="O121" s="607"/>
      <c r="P121" s="607"/>
      <c r="Q121" s="607">
        <f>Q96</f>
        <v>0</v>
      </c>
      <c r="R121" s="607"/>
      <c r="S121" s="607">
        <f>S96</f>
        <v>0</v>
      </c>
      <c r="T121" s="608" t="str">
        <f t="shared" si="48"/>
        <v/>
      </c>
      <c r="U121" s="609" t="str">
        <f>IFERROR(+S121/S82,"")</f>
        <v/>
      </c>
      <c r="V121" s="173">
        <f>V96</f>
        <v>0</v>
      </c>
      <c r="W121" s="173">
        <f>I121-V121</f>
        <v>0</v>
      </c>
      <c r="X121" s="38"/>
      <c r="AA121" s="13"/>
      <c r="AB121" s="29">
        <v>0</v>
      </c>
      <c r="AC121" s="34"/>
      <c r="AF121" s="29">
        <v>0</v>
      </c>
    </row>
    <row r="122" spans="3:34" ht="12" customHeight="1">
      <c r="C122" s="64"/>
      <c r="D122" s="24" t="s">
        <v>152</v>
      </c>
      <c r="E122" s="28" t="s">
        <v>153</v>
      </c>
      <c r="F122" s="607"/>
      <c r="G122" s="173"/>
      <c r="H122" s="173"/>
      <c r="I122" s="173">
        <f t="shared" si="49"/>
        <v>0</v>
      </c>
      <c r="J122" s="607"/>
      <c r="K122" s="173"/>
      <c r="L122" s="607">
        <f>J122+K122</f>
        <v>0</v>
      </c>
      <c r="M122" s="607"/>
      <c r="N122" s="607"/>
      <c r="O122" s="607"/>
      <c r="P122" s="607"/>
      <c r="Q122" s="607"/>
      <c r="R122" s="607"/>
      <c r="S122" s="607"/>
      <c r="T122" s="608" t="str">
        <f t="shared" si="48"/>
        <v/>
      </c>
      <c r="U122" s="609"/>
      <c r="V122" s="173"/>
      <c r="W122" s="173">
        <f>I122-V122</f>
        <v>0</v>
      </c>
      <c r="X122" s="38"/>
      <c r="AA122" s="13"/>
      <c r="AB122" s="29"/>
      <c r="AC122" s="34"/>
      <c r="AF122" s="29"/>
    </row>
    <row r="123" spans="3:34" ht="12" customHeight="1">
      <c r="C123" s="64"/>
      <c r="D123" s="24" t="s">
        <v>154</v>
      </c>
      <c r="E123" s="28" t="s">
        <v>155</v>
      </c>
      <c r="F123" s="607">
        <f>F112</f>
        <v>0</v>
      </c>
      <c r="G123" s="173">
        <f>G112</f>
        <v>0</v>
      </c>
      <c r="H123" s="173">
        <f>H112</f>
        <v>0</v>
      </c>
      <c r="I123" s="173">
        <f t="shared" si="49"/>
        <v>0</v>
      </c>
      <c r="J123" s="607">
        <f>J112</f>
        <v>0</v>
      </c>
      <c r="K123" s="173">
        <f>K112</f>
        <v>0</v>
      </c>
      <c r="L123" s="607">
        <f>J123+K123</f>
        <v>0</v>
      </c>
      <c r="M123" s="607"/>
      <c r="N123" s="607"/>
      <c r="O123" s="607"/>
      <c r="P123" s="183"/>
      <c r="Q123" s="183">
        <f>Q112</f>
        <v>0</v>
      </c>
      <c r="R123" s="183"/>
      <c r="S123" s="607">
        <f>S112</f>
        <v>0</v>
      </c>
      <c r="T123" s="608" t="str">
        <f t="shared" si="48"/>
        <v/>
      </c>
      <c r="U123" s="609"/>
      <c r="V123" s="173">
        <f>V112</f>
        <v>0</v>
      </c>
      <c r="W123" s="173">
        <f>I123-V123</f>
        <v>0</v>
      </c>
      <c r="X123" s="38"/>
      <c r="AA123" s="13"/>
      <c r="AB123" s="29">
        <v>0</v>
      </c>
      <c r="AC123" s="34"/>
      <c r="AF123" s="29">
        <v>0</v>
      </c>
    </row>
    <row r="124" spans="3:34">
      <c r="D124" s="697" t="s">
        <v>156</v>
      </c>
      <c r="E124" s="698"/>
      <c r="F124" s="18">
        <f>SUM(F119:F123)</f>
        <v>0</v>
      </c>
      <c r="G124" s="174">
        <f>SUM(G119:G123)</f>
        <v>0</v>
      </c>
      <c r="H124" s="18">
        <f t="shared" ref="H124:W124" si="50">SUM(H119:H123)</f>
        <v>0</v>
      </c>
      <c r="I124" s="18">
        <f t="shared" si="50"/>
        <v>0</v>
      </c>
      <c r="J124" s="18">
        <f t="shared" si="50"/>
        <v>0</v>
      </c>
      <c r="K124" s="18">
        <f t="shared" si="50"/>
        <v>0</v>
      </c>
      <c r="L124" s="18">
        <f t="shared" si="50"/>
        <v>0</v>
      </c>
      <c r="M124" s="18">
        <f t="shared" si="50"/>
        <v>0</v>
      </c>
      <c r="N124" s="18">
        <f t="shared" si="50"/>
        <v>0</v>
      </c>
      <c r="O124" s="18">
        <f t="shared" si="50"/>
        <v>0</v>
      </c>
      <c r="P124" s="18">
        <f t="shared" si="50"/>
        <v>0</v>
      </c>
      <c r="Q124" s="18">
        <f t="shared" si="50"/>
        <v>0</v>
      </c>
      <c r="R124" s="18"/>
      <c r="S124" s="18">
        <f t="shared" si="50"/>
        <v>0</v>
      </c>
      <c r="T124" s="18"/>
      <c r="U124" s="598"/>
      <c r="V124" s="18">
        <f>SUM(V119:V123)</f>
        <v>0</v>
      </c>
      <c r="W124" s="18">
        <f t="shared" si="50"/>
        <v>0</v>
      </c>
      <c r="X124" s="45"/>
      <c r="AA124" s="13"/>
      <c r="AB124" s="18">
        <v>0</v>
      </c>
      <c r="AC124" s="23"/>
      <c r="AF124" s="18">
        <v>0</v>
      </c>
      <c r="AG124" s="23"/>
      <c r="AH124" s="23"/>
    </row>
    <row r="125" spans="3:34">
      <c r="D125" s="67"/>
      <c r="E125" s="48"/>
      <c r="F125" s="68"/>
      <c r="G125" s="68"/>
      <c r="H125" s="68"/>
      <c r="I125" s="68"/>
      <c r="J125" s="68"/>
      <c r="K125" s="68"/>
      <c r="L125" s="68"/>
      <c r="M125" s="68"/>
      <c r="N125" s="68"/>
      <c r="O125" s="68"/>
      <c r="P125" s="68"/>
      <c r="Q125" s="68"/>
      <c r="R125" s="68"/>
      <c r="S125" s="68"/>
      <c r="T125" s="68"/>
      <c r="U125" s="68"/>
      <c r="V125" s="68"/>
      <c r="W125" s="68"/>
      <c r="X125" s="69"/>
      <c r="AA125" s="13"/>
      <c r="AB125" s="68"/>
      <c r="AC125" s="59"/>
      <c r="AF125" s="68">
        <v>0</v>
      </c>
      <c r="AG125" s="59"/>
      <c r="AH125" s="59"/>
    </row>
    <row r="126" spans="3:34" s="21" customFormat="1">
      <c r="D126" s="70"/>
      <c r="E126" s="71"/>
      <c r="F126" s="72"/>
      <c r="G126" s="73"/>
      <c r="H126" s="73"/>
      <c r="I126" s="73"/>
      <c r="J126" s="257"/>
      <c r="K126" s="257"/>
      <c r="L126" s="257"/>
      <c r="M126" s="257"/>
      <c r="N126" s="257"/>
      <c r="O126" s="257"/>
      <c r="P126" s="257"/>
      <c r="Q126" s="257"/>
      <c r="R126" s="257"/>
      <c r="S126" s="257"/>
      <c r="T126" s="72"/>
      <c r="U126" s="72"/>
      <c r="V126" s="72"/>
      <c r="W126" s="72"/>
      <c r="X126" s="74"/>
      <c r="Z126" s="3"/>
      <c r="AA126" s="13"/>
      <c r="AB126" s="23"/>
      <c r="AC126" s="23"/>
      <c r="AD126" s="10"/>
      <c r="AE126" s="10"/>
      <c r="AF126" s="23"/>
      <c r="AG126" s="23"/>
      <c r="AH126" s="23"/>
    </row>
    <row r="127" spans="3:34" s="21" customFormat="1" ht="8.5" customHeight="1">
      <c r="D127" s="70"/>
      <c r="E127" s="71"/>
      <c r="F127" s="72"/>
      <c r="G127" s="73"/>
      <c r="H127" s="73"/>
      <c r="I127" s="73"/>
      <c r="J127" s="257"/>
      <c r="K127" s="257"/>
      <c r="L127" s="257"/>
      <c r="M127" s="257"/>
      <c r="N127" s="257"/>
      <c r="O127" s="257"/>
      <c r="P127" s="257"/>
      <c r="Q127" s="257"/>
      <c r="R127" s="257"/>
      <c r="S127" s="257"/>
      <c r="T127" s="72"/>
      <c r="U127" s="72"/>
      <c r="V127" s="72"/>
      <c r="W127" s="72"/>
      <c r="X127" s="74"/>
      <c r="Z127" s="3"/>
      <c r="AA127" s="13"/>
      <c r="AB127" s="23"/>
      <c r="AC127" s="23"/>
      <c r="AD127" s="10"/>
      <c r="AE127" s="10"/>
      <c r="AF127" s="23"/>
      <c r="AG127" s="23"/>
      <c r="AH127" s="23"/>
    </row>
    <row r="128" spans="3:34" s="21" customFormat="1" ht="24.75" customHeight="1">
      <c r="D128" s="70"/>
      <c r="E128" s="76" t="s">
        <v>157</v>
      </c>
      <c r="F128" s="72"/>
      <c r="G128" s="73"/>
      <c r="H128" s="73"/>
      <c r="I128" s="73"/>
      <c r="J128" s="257"/>
      <c r="K128" s="258" t="s">
        <v>158</v>
      </c>
      <c r="L128" s="259"/>
      <c r="M128" s="259"/>
      <c r="N128" s="259"/>
      <c r="O128" s="259"/>
      <c r="P128" s="259"/>
      <c r="Q128" s="259"/>
      <c r="R128" s="259"/>
      <c r="S128" s="258" t="s">
        <v>159</v>
      </c>
      <c r="T128" s="72"/>
      <c r="U128" s="72"/>
      <c r="V128" s="260" t="s">
        <v>160</v>
      </c>
      <c r="W128" s="260"/>
      <c r="X128" s="74"/>
      <c r="Z128" s="3"/>
      <c r="AA128" s="13"/>
      <c r="AB128" s="77" t="s">
        <v>205</v>
      </c>
      <c r="AD128" s="77" t="s">
        <v>206</v>
      </c>
      <c r="AE128" s="77"/>
      <c r="AF128" s="77" t="s">
        <v>207</v>
      </c>
      <c r="AG128" s="77"/>
      <c r="AH128" s="77" t="s">
        <v>208</v>
      </c>
    </row>
    <row r="129" spans="4:34">
      <c r="D129" s="70"/>
      <c r="F129" s="265"/>
      <c r="G129" s="265"/>
      <c r="H129" s="265"/>
      <c r="I129" s="265"/>
      <c r="X129" s="266"/>
    </row>
    <row r="130" spans="4:34" s="21" customFormat="1">
      <c r="D130" s="262"/>
      <c r="E130" s="78" t="s">
        <v>161</v>
      </c>
      <c r="F130" s="72"/>
      <c r="H130" s="72"/>
      <c r="I130" s="72"/>
      <c r="J130" s="72"/>
      <c r="K130" s="79"/>
      <c r="L130" s="261"/>
      <c r="M130" s="261"/>
      <c r="N130" s="261"/>
      <c r="O130" s="261"/>
      <c r="P130" s="261"/>
      <c r="Q130" s="261"/>
      <c r="R130" s="261"/>
      <c r="S130" s="79"/>
      <c r="T130" s="72"/>
      <c r="U130" s="72"/>
      <c r="V130" s="694"/>
      <c r="W130" s="694"/>
      <c r="X130" s="694"/>
      <c r="Z130" s="80"/>
      <c r="AA130" s="13"/>
      <c r="AB130" s="79">
        <v>9500</v>
      </c>
      <c r="AC130" s="81"/>
      <c r="AD130" s="79"/>
      <c r="AE130" s="81"/>
      <c r="AF130" s="79">
        <v>0</v>
      </c>
      <c r="AG130" s="81"/>
      <c r="AH130" s="79">
        <v>0</v>
      </c>
    </row>
    <row r="131" spans="4:34" s="21" customFormat="1" ht="7.5" customHeight="1">
      <c r="D131" s="262"/>
      <c r="E131" s="82"/>
      <c r="F131" s="72"/>
      <c r="H131" s="72"/>
      <c r="I131" s="72"/>
      <c r="J131" s="72"/>
      <c r="K131" s="72"/>
      <c r="L131" s="72"/>
      <c r="M131" s="72"/>
      <c r="N131" s="72"/>
      <c r="O131" s="72"/>
      <c r="P131" s="72"/>
      <c r="Q131" s="72"/>
      <c r="R131" s="72"/>
      <c r="S131" s="72"/>
      <c r="T131" s="72"/>
      <c r="U131" s="72"/>
      <c r="V131" s="72"/>
      <c r="W131" s="72"/>
      <c r="X131" s="74"/>
      <c r="Z131" s="3"/>
      <c r="AA131" s="13"/>
      <c r="AB131" s="72"/>
      <c r="AC131" s="72"/>
      <c r="AD131" s="72"/>
      <c r="AE131" s="72"/>
      <c r="AF131" s="72"/>
      <c r="AG131" s="72"/>
      <c r="AH131" s="72"/>
    </row>
    <row r="132" spans="4:34" s="21" customFormat="1">
      <c r="D132" s="262"/>
      <c r="E132" s="76" t="s">
        <v>162</v>
      </c>
      <c r="F132" s="72"/>
      <c r="H132" s="72"/>
      <c r="I132" s="72"/>
      <c r="J132" s="72"/>
      <c r="K132" s="72"/>
      <c r="L132" s="72"/>
      <c r="M132" s="72"/>
      <c r="N132" s="72"/>
      <c r="O132" s="72"/>
      <c r="P132" s="72"/>
      <c r="Q132" s="72"/>
      <c r="R132" s="72"/>
      <c r="S132" s="72"/>
      <c r="T132" s="72"/>
      <c r="U132" s="72"/>
      <c r="V132" s="72"/>
      <c r="W132" s="72"/>
      <c r="X132" s="74"/>
      <c r="Z132" s="3"/>
      <c r="AA132" s="13"/>
      <c r="AB132" s="72"/>
      <c r="AC132" s="72"/>
      <c r="AD132" s="72"/>
      <c r="AE132" s="72"/>
      <c r="AF132" s="72"/>
      <c r="AG132" s="72"/>
      <c r="AH132" s="72"/>
    </row>
    <row r="133" spans="4:34" s="21" customFormat="1">
      <c r="D133" s="262"/>
      <c r="E133" s="84" t="s">
        <v>163</v>
      </c>
      <c r="F133" s="72"/>
      <c r="H133" s="72"/>
      <c r="I133" s="72"/>
      <c r="J133" s="73"/>
      <c r="K133" s="79"/>
      <c r="L133" s="261"/>
      <c r="M133" s="261"/>
      <c r="N133" s="261"/>
      <c r="O133" s="261"/>
      <c r="P133" s="261"/>
      <c r="Q133" s="261"/>
      <c r="R133" s="261"/>
      <c r="S133" s="79"/>
      <c r="T133" s="72"/>
      <c r="U133" s="72"/>
      <c r="V133" s="694"/>
      <c r="W133" s="694"/>
      <c r="X133" s="694"/>
      <c r="Z133" s="3"/>
      <c r="AA133" s="13"/>
      <c r="AB133" s="79">
        <v>300</v>
      </c>
      <c r="AC133" s="81"/>
      <c r="AD133" s="79"/>
      <c r="AE133" s="81"/>
      <c r="AF133" s="79">
        <v>0</v>
      </c>
      <c r="AG133" s="81"/>
      <c r="AH133" s="79">
        <v>0</v>
      </c>
    </row>
    <row r="134" spans="4:34" s="21" customFormat="1">
      <c r="D134" s="262"/>
      <c r="E134" s="84" t="s">
        <v>164</v>
      </c>
      <c r="F134" s="72"/>
      <c r="H134" s="73"/>
      <c r="I134" s="73"/>
      <c r="J134" s="73"/>
      <c r="K134" s="79"/>
      <c r="L134" s="261"/>
      <c r="M134" s="261"/>
      <c r="N134" s="261"/>
      <c r="O134" s="261"/>
      <c r="P134" s="261"/>
      <c r="Q134" s="261"/>
      <c r="R134" s="261"/>
      <c r="S134" s="79"/>
      <c r="T134" s="72"/>
      <c r="U134" s="72"/>
      <c r="V134" s="694"/>
      <c r="W134" s="694"/>
      <c r="X134" s="694"/>
      <c r="Z134" s="3"/>
      <c r="AA134" s="13"/>
      <c r="AB134" s="79"/>
      <c r="AC134" s="81"/>
      <c r="AD134" s="79"/>
      <c r="AE134" s="81"/>
      <c r="AF134" s="79">
        <v>0</v>
      </c>
      <c r="AG134" s="81"/>
      <c r="AH134" s="79">
        <v>0</v>
      </c>
    </row>
    <row r="135" spans="4:34" s="21" customFormat="1" ht="11.15" customHeight="1">
      <c r="D135" s="262"/>
      <c r="E135" s="82"/>
      <c r="F135" s="72"/>
      <c r="H135" s="73"/>
      <c r="I135" s="73"/>
      <c r="J135" s="73"/>
      <c r="K135" s="73"/>
      <c r="L135" s="73"/>
      <c r="M135" s="73"/>
      <c r="N135" s="73"/>
      <c r="O135" s="73"/>
      <c r="P135" s="73"/>
      <c r="Q135" s="73"/>
      <c r="R135" s="73"/>
      <c r="S135" s="73"/>
      <c r="T135" s="72"/>
      <c r="U135" s="72"/>
      <c r="V135" s="72"/>
      <c r="W135" s="72"/>
      <c r="X135" s="74"/>
      <c r="Z135" s="3"/>
      <c r="AA135" s="13"/>
      <c r="AB135" s="73"/>
      <c r="AC135" s="73"/>
      <c r="AD135" s="73"/>
      <c r="AE135" s="73"/>
      <c r="AF135" s="73"/>
      <c r="AG135" s="73"/>
      <c r="AH135" s="73"/>
    </row>
    <row r="136" spans="4:34" s="21" customFormat="1">
      <c r="D136" s="262"/>
      <c r="E136" s="78" t="s">
        <v>165</v>
      </c>
      <c r="F136" s="72"/>
      <c r="H136" s="73"/>
      <c r="I136" s="73"/>
      <c r="J136" s="72"/>
      <c r="K136" s="18">
        <f>K130-K133+K134</f>
        <v>0</v>
      </c>
      <c r="L136" s="257"/>
      <c r="M136" s="257"/>
      <c r="N136" s="257"/>
      <c r="O136" s="257"/>
      <c r="P136" s="257"/>
      <c r="Q136" s="257"/>
      <c r="R136" s="257"/>
      <c r="S136" s="18">
        <f>S130-S133+S134</f>
        <v>0</v>
      </c>
      <c r="T136" s="72"/>
      <c r="U136" s="72"/>
      <c r="V136" s="72"/>
      <c r="W136" s="72"/>
      <c r="X136" s="74"/>
      <c r="Z136" s="3"/>
      <c r="AA136" s="13"/>
      <c r="AB136" s="18">
        <v>0</v>
      </c>
      <c r="AC136" s="85"/>
      <c r="AD136" s="18">
        <v>0</v>
      </c>
      <c r="AE136" s="85"/>
      <c r="AF136" s="18">
        <v>0</v>
      </c>
      <c r="AG136" s="85"/>
      <c r="AH136" s="18">
        <v>0</v>
      </c>
    </row>
    <row r="137" spans="4:34" s="21" customFormat="1" ht="10" customHeight="1">
      <c r="D137" s="262"/>
      <c r="E137" s="82"/>
      <c r="F137" s="72"/>
      <c r="H137" s="72"/>
      <c r="I137" s="72"/>
      <c r="J137" s="73"/>
      <c r="K137" s="72"/>
      <c r="L137" s="72"/>
      <c r="M137" s="72"/>
      <c r="N137" s="72"/>
      <c r="O137" s="72"/>
      <c r="P137" s="72"/>
      <c r="Q137" s="72"/>
      <c r="R137" s="72"/>
      <c r="S137" s="72"/>
      <c r="T137" s="72"/>
      <c r="U137" s="72"/>
      <c r="V137" s="72"/>
      <c r="W137" s="72"/>
      <c r="X137" s="74"/>
      <c r="Z137" s="3"/>
      <c r="AA137" s="13"/>
      <c r="AB137" s="72"/>
      <c r="AC137" s="72"/>
      <c r="AD137" s="72"/>
      <c r="AE137" s="72"/>
      <c r="AF137" s="72"/>
      <c r="AG137" s="72"/>
      <c r="AH137" s="72"/>
    </row>
    <row r="138" spans="4:34" s="21" customFormat="1">
      <c r="D138" s="262"/>
      <c r="E138" s="84" t="s">
        <v>166</v>
      </c>
      <c r="F138" s="72"/>
      <c r="H138" s="73"/>
      <c r="I138" s="73"/>
      <c r="J138" s="73"/>
      <c r="K138" s="79"/>
      <c r="L138" s="261"/>
      <c r="M138" s="261"/>
      <c r="N138" s="261"/>
      <c r="O138" s="261"/>
      <c r="P138" s="261"/>
      <c r="Q138" s="261"/>
      <c r="R138" s="261"/>
      <c r="S138" s="86"/>
      <c r="T138" s="72"/>
      <c r="U138" s="72"/>
      <c r="V138" s="694"/>
      <c r="W138" s="694"/>
      <c r="X138" s="694"/>
      <c r="Z138" s="3"/>
      <c r="AA138" s="13"/>
      <c r="AB138" s="79"/>
      <c r="AC138" s="29"/>
      <c r="AD138" s="86"/>
      <c r="AE138" s="29"/>
      <c r="AF138" s="79">
        <v>0</v>
      </c>
      <c r="AG138" s="29"/>
      <c r="AH138" s="86"/>
    </row>
    <row r="139" spans="4:34" s="21" customFormat="1">
      <c r="D139" s="262"/>
      <c r="E139" s="84" t="s">
        <v>1044</v>
      </c>
      <c r="F139" s="72"/>
      <c r="H139" s="73"/>
      <c r="I139" s="73"/>
      <c r="J139" s="73"/>
      <c r="K139" s="79"/>
      <c r="L139" s="261"/>
      <c r="M139" s="261"/>
      <c r="N139" s="261"/>
      <c r="O139" s="261"/>
      <c r="P139" s="261"/>
      <c r="Q139" s="261"/>
      <c r="R139" s="261"/>
      <c r="S139" s="86"/>
      <c r="T139" s="72"/>
      <c r="U139" s="72"/>
      <c r="V139" s="694"/>
      <c r="W139" s="694"/>
      <c r="X139" s="694"/>
      <c r="Z139" s="3"/>
      <c r="AA139" s="13"/>
      <c r="AB139" s="79"/>
      <c r="AC139" s="29"/>
      <c r="AD139" s="86"/>
      <c r="AE139" s="29"/>
      <c r="AF139" s="79">
        <v>0</v>
      </c>
      <c r="AG139" s="29"/>
      <c r="AH139" s="86"/>
    </row>
    <row r="140" spans="4:34" s="21" customFormat="1">
      <c r="D140" s="262"/>
      <c r="E140" s="84" t="s">
        <v>265</v>
      </c>
      <c r="F140" s="72"/>
      <c r="H140" s="73"/>
      <c r="I140" s="73"/>
      <c r="J140" s="73"/>
      <c r="K140" s="79"/>
      <c r="L140" s="261"/>
      <c r="M140" s="261"/>
      <c r="N140" s="261"/>
      <c r="O140" s="261"/>
      <c r="P140" s="261"/>
      <c r="Q140" s="261"/>
      <c r="R140" s="261"/>
      <c r="S140" s="86"/>
      <c r="T140" s="72"/>
      <c r="U140" s="72"/>
      <c r="V140" s="694"/>
      <c r="W140" s="694"/>
      <c r="X140" s="694"/>
      <c r="Z140" s="3"/>
      <c r="AA140" s="13"/>
      <c r="AB140" s="79"/>
      <c r="AC140" s="29"/>
      <c r="AD140" s="86"/>
      <c r="AE140" s="29"/>
      <c r="AF140" s="79">
        <v>0</v>
      </c>
      <c r="AG140" s="29"/>
      <c r="AH140" s="86"/>
    </row>
    <row r="141" spans="4:34" s="21" customFormat="1">
      <c r="D141" s="262"/>
      <c r="E141" s="84" t="s">
        <v>997</v>
      </c>
      <c r="F141" s="72"/>
      <c r="H141" s="73"/>
      <c r="I141" s="73"/>
      <c r="J141" s="73"/>
      <c r="K141" s="79"/>
      <c r="L141" s="261"/>
      <c r="M141" s="261"/>
      <c r="N141" s="261"/>
      <c r="O141" s="261"/>
      <c r="P141" s="261"/>
      <c r="Q141" s="261"/>
      <c r="R141" s="261"/>
      <c r="S141" s="86"/>
      <c r="T141" s="72"/>
      <c r="U141" s="72"/>
      <c r="V141" s="694"/>
      <c r="W141" s="694"/>
      <c r="X141" s="694"/>
      <c r="Z141" s="3"/>
      <c r="AA141" s="13"/>
      <c r="AB141" s="79"/>
      <c r="AC141" s="29"/>
      <c r="AD141" s="86"/>
      <c r="AE141" s="29"/>
      <c r="AF141" s="79">
        <v>0</v>
      </c>
      <c r="AG141" s="29"/>
      <c r="AH141" s="86"/>
    </row>
    <row r="142" spans="4:34" s="21" customFormat="1">
      <c r="D142" s="262"/>
      <c r="E142" s="84" t="s">
        <v>313</v>
      </c>
      <c r="F142" s="72"/>
      <c r="H142" s="73"/>
      <c r="I142" s="73"/>
      <c r="J142" s="73"/>
      <c r="K142" s="79"/>
      <c r="L142" s="261"/>
      <c r="M142" s="261"/>
      <c r="N142" s="261"/>
      <c r="O142" s="261"/>
      <c r="P142" s="261"/>
      <c r="Q142" s="261"/>
      <c r="R142" s="261"/>
      <c r="S142" s="637">
        <f>-_xlfn.IFNA(VLOOKUP(E4,'Cash Advances'!A:AA,27,FALSE),0)</f>
        <v>0</v>
      </c>
      <c r="T142" s="72"/>
      <c r="U142" s="72"/>
      <c r="V142" s="694"/>
      <c r="W142" s="694"/>
      <c r="X142" s="694"/>
      <c r="Z142" s="3"/>
      <c r="AA142" s="13"/>
      <c r="AB142" s="79"/>
      <c r="AC142" s="81"/>
      <c r="AD142" s="79">
        <v>0</v>
      </c>
      <c r="AE142" s="81"/>
      <c r="AF142" s="79">
        <v>0</v>
      </c>
      <c r="AG142" s="81"/>
      <c r="AH142" s="79">
        <v>0</v>
      </c>
    </row>
    <row r="143" spans="4:34" s="21" customFormat="1" ht="10" customHeight="1">
      <c r="D143" s="262"/>
      <c r="E143" s="82"/>
      <c r="F143" s="72"/>
      <c r="H143" s="72"/>
      <c r="I143" s="72"/>
      <c r="J143" s="73"/>
      <c r="K143" s="72"/>
      <c r="L143" s="72"/>
      <c r="M143" s="72"/>
      <c r="N143" s="72"/>
      <c r="O143" s="72"/>
      <c r="P143" s="72"/>
      <c r="Q143" s="72"/>
      <c r="R143" s="72"/>
      <c r="S143" s="72"/>
      <c r="T143" s="72"/>
      <c r="U143" s="72"/>
      <c r="V143" s="72"/>
      <c r="W143" s="72"/>
      <c r="X143" s="74"/>
      <c r="Z143" s="3"/>
      <c r="AA143" s="13"/>
      <c r="AB143" s="72"/>
      <c r="AC143" s="72"/>
      <c r="AD143" s="72"/>
      <c r="AE143" s="72"/>
      <c r="AF143" s="72"/>
      <c r="AG143" s="72"/>
      <c r="AH143" s="72"/>
    </row>
    <row r="144" spans="4:34" s="21" customFormat="1">
      <c r="D144" s="262"/>
      <c r="E144" s="78" t="s">
        <v>168</v>
      </c>
      <c r="F144" s="72"/>
      <c r="H144" s="72"/>
      <c r="I144" s="72"/>
      <c r="J144" s="73"/>
      <c r="K144" s="18">
        <f>SUM(K136:K142)</f>
        <v>0</v>
      </c>
      <c r="L144" s="257"/>
      <c r="M144" s="257"/>
      <c r="N144" s="257"/>
      <c r="O144" s="257"/>
      <c r="P144" s="257"/>
      <c r="Q144" s="257"/>
      <c r="R144" s="257"/>
      <c r="S144" s="18">
        <f>SUM(S136:S142)</f>
        <v>0</v>
      </c>
      <c r="T144" s="72"/>
      <c r="U144" s="72"/>
      <c r="V144" s="72"/>
      <c r="W144" s="72"/>
      <c r="X144" s="74"/>
      <c r="Z144" s="3"/>
      <c r="AA144" s="13"/>
      <c r="AB144" s="18">
        <v>0</v>
      </c>
      <c r="AC144" s="85"/>
      <c r="AD144" s="18">
        <v>0</v>
      </c>
      <c r="AE144" s="85"/>
      <c r="AF144" s="18">
        <v>0</v>
      </c>
      <c r="AG144" s="85"/>
      <c r="AH144" s="18">
        <v>0</v>
      </c>
    </row>
    <row r="145" spans="4:32">
      <c r="D145" s="70"/>
      <c r="F145" s="265"/>
      <c r="G145" s="265"/>
      <c r="H145" s="265"/>
      <c r="I145" s="265"/>
      <c r="X145" s="266"/>
    </row>
    <row r="146" spans="4:32" hidden="1">
      <c r="D146" s="70"/>
      <c r="F146" s="265"/>
      <c r="G146" s="265"/>
      <c r="H146" s="265"/>
      <c r="I146" s="265"/>
      <c r="X146" s="266"/>
    </row>
    <row r="147" spans="4:32" s="21" customFormat="1" ht="14.15" hidden="1" customHeight="1">
      <c r="D147" s="262"/>
      <c r="E147" s="87" t="s">
        <v>169</v>
      </c>
      <c r="F147" s="72"/>
      <c r="H147" s="72"/>
      <c r="I147" s="72"/>
      <c r="J147" s="73"/>
      <c r="K147" s="257"/>
      <c r="L147" s="263"/>
      <c r="M147" s="263"/>
      <c r="N147" s="263"/>
      <c r="O147" s="263"/>
      <c r="P147" s="263"/>
      <c r="Q147" s="263"/>
      <c r="R147" s="263"/>
      <c r="S147" s="264"/>
      <c r="T147" s="72"/>
      <c r="U147" s="72"/>
      <c r="V147" s="72"/>
      <c r="W147" s="72"/>
      <c r="X147" s="74"/>
      <c r="Z147" s="3"/>
      <c r="AA147" s="13"/>
      <c r="AB147" s="88"/>
      <c r="AC147" s="23"/>
      <c r="AD147" s="10"/>
      <c r="AE147" s="10"/>
      <c r="AF147" s="88"/>
    </row>
    <row r="148" spans="4:32" s="21" customFormat="1" hidden="1">
      <c r="D148" s="262"/>
      <c r="E148" s="84" t="s">
        <v>755</v>
      </c>
      <c r="F148" s="72"/>
      <c r="H148" s="72"/>
      <c r="I148" s="72"/>
      <c r="J148" s="73"/>
      <c r="K148" s="257"/>
      <c r="L148" s="359" t="s">
        <v>171</v>
      </c>
      <c r="M148" s="263"/>
      <c r="N148" s="263"/>
      <c r="O148" s="263"/>
      <c r="P148" s="263"/>
      <c r="Q148" s="263"/>
      <c r="R148" s="263"/>
      <c r="S148" s="89"/>
      <c r="V148" s="694"/>
      <c r="W148" s="694"/>
      <c r="X148" s="694"/>
      <c r="Z148" s="3"/>
      <c r="AA148" s="13"/>
      <c r="AB148" s="79"/>
      <c r="AC148" s="90"/>
      <c r="AD148" s="10"/>
      <c r="AE148" s="10"/>
      <c r="AF148" s="79">
        <v>0</v>
      </c>
    </row>
    <row r="149" spans="4:32" s="21" customFormat="1" hidden="1">
      <c r="D149" s="262"/>
      <c r="E149" s="84" t="s">
        <v>756</v>
      </c>
      <c r="F149" s="72"/>
      <c r="H149" s="72"/>
      <c r="I149" s="72"/>
      <c r="J149" s="73"/>
      <c r="K149" s="257"/>
      <c r="L149" s="359" t="s">
        <v>171</v>
      </c>
      <c r="M149" s="263"/>
      <c r="N149" s="263"/>
      <c r="O149" s="263"/>
      <c r="P149" s="263"/>
      <c r="Q149" s="263"/>
      <c r="R149" s="263"/>
      <c r="S149" s="89"/>
      <c r="V149" s="694"/>
      <c r="W149" s="694"/>
      <c r="X149" s="694"/>
      <c r="Z149" s="3"/>
      <c r="AA149" s="13"/>
      <c r="AB149" s="79"/>
      <c r="AC149" s="90"/>
      <c r="AD149" s="10"/>
      <c r="AE149" s="10"/>
      <c r="AF149" s="79">
        <v>0</v>
      </c>
    </row>
    <row r="150" spans="4:32" s="21" customFormat="1" hidden="1">
      <c r="D150" s="262"/>
      <c r="E150" s="84" t="s">
        <v>757</v>
      </c>
      <c r="F150" s="72"/>
      <c r="H150" s="72"/>
      <c r="I150" s="72"/>
      <c r="J150" s="73"/>
      <c r="K150" s="257"/>
      <c r="L150" s="359" t="s">
        <v>171</v>
      </c>
      <c r="M150" s="263"/>
      <c r="N150" s="263"/>
      <c r="O150" s="263"/>
      <c r="P150" s="263"/>
      <c r="Q150" s="263"/>
      <c r="R150" s="263"/>
      <c r="S150" s="89"/>
      <c r="V150" s="694"/>
      <c r="W150" s="694"/>
      <c r="X150" s="694"/>
      <c r="Z150" s="3"/>
      <c r="AA150" s="13"/>
      <c r="AB150" s="79"/>
      <c r="AC150" s="90"/>
      <c r="AD150" s="10"/>
      <c r="AE150" s="10"/>
      <c r="AF150" s="79">
        <v>0</v>
      </c>
    </row>
    <row r="151" spans="4:32" s="21" customFormat="1" hidden="1">
      <c r="D151" s="262"/>
      <c r="E151" s="84" t="s">
        <v>758</v>
      </c>
      <c r="F151" s="72"/>
      <c r="H151" s="72"/>
      <c r="I151" s="72"/>
      <c r="J151" s="73"/>
      <c r="K151" s="257"/>
      <c r="L151" s="359" t="s">
        <v>171</v>
      </c>
      <c r="M151" s="263"/>
      <c r="N151" s="263"/>
      <c r="O151" s="263"/>
      <c r="P151" s="263"/>
      <c r="Q151" s="263"/>
      <c r="R151" s="263"/>
      <c r="S151" s="89"/>
      <c r="V151" s="694"/>
      <c r="W151" s="694"/>
      <c r="X151" s="694"/>
      <c r="Z151" s="3"/>
      <c r="AA151" s="13"/>
      <c r="AB151" s="79"/>
      <c r="AC151" s="90"/>
      <c r="AD151" s="10"/>
      <c r="AE151" s="10"/>
      <c r="AF151" s="79">
        <v>0</v>
      </c>
    </row>
    <row r="152" spans="4:32" s="21" customFormat="1" hidden="1">
      <c r="D152" s="262"/>
      <c r="E152" s="84" t="s">
        <v>759</v>
      </c>
      <c r="F152" s="72"/>
      <c r="H152" s="72"/>
      <c r="I152" s="72"/>
      <c r="J152" s="73"/>
      <c r="K152" s="257"/>
      <c r="L152" s="359" t="s">
        <v>176</v>
      </c>
      <c r="M152" s="263"/>
      <c r="N152" s="263"/>
      <c r="O152" s="263"/>
      <c r="P152" s="263"/>
      <c r="Q152" s="263"/>
      <c r="R152" s="263"/>
      <c r="S152" s="89"/>
      <c r="V152" s="694"/>
      <c r="W152" s="694"/>
      <c r="X152" s="694"/>
      <c r="Z152" s="3"/>
      <c r="AA152" s="13"/>
      <c r="AB152" s="79"/>
      <c r="AC152" s="90"/>
      <c r="AD152" s="10"/>
      <c r="AE152" s="10"/>
      <c r="AF152" s="79">
        <v>0</v>
      </c>
    </row>
    <row r="153" spans="4:32" s="21" customFormat="1" hidden="1">
      <c r="D153" s="262"/>
      <c r="E153" s="84" t="s">
        <v>760</v>
      </c>
      <c r="F153" s="72"/>
      <c r="H153" s="72"/>
      <c r="I153" s="72"/>
      <c r="J153" s="73"/>
      <c r="K153" s="257"/>
      <c r="L153" s="359" t="s">
        <v>176</v>
      </c>
      <c r="M153" s="263"/>
      <c r="N153" s="263"/>
      <c r="O153" s="263"/>
      <c r="P153" s="263"/>
      <c r="Q153" s="263"/>
      <c r="R153" s="263"/>
      <c r="S153" s="89"/>
      <c r="V153" s="694"/>
      <c r="W153" s="694"/>
      <c r="X153" s="694"/>
      <c r="Z153" s="3"/>
      <c r="AA153" s="13"/>
      <c r="AB153" s="79"/>
      <c r="AC153" s="90"/>
      <c r="AD153" s="10"/>
      <c r="AE153" s="10"/>
      <c r="AF153" s="79">
        <v>0</v>
      </c>
    </row>
    <row r="154" spans="4:32" s="21" customFormat="1" hidden="1">
      <c r="D154" s="262"/>
      <c r="E154" s="84" t="s">
        <v>761</v>
      </c>
      <c r="F154" s="72"/>
      <c r="H154" s="72"/>
      <c r="I154" s="72"/>
      <c r="J154" s="73"/>
      <c r="K154" s="257"/>
      <c r="L154" s="359" t="s">
        <v>176</v>
      </c>
      <c r="M154" s="263"/>
      <c r="N154" s="263"/>
      <c r="O154" s="263"/>
      <c r="P154" s="263"/>
      <c r="Q154" s="263"/>
      <c r="R154" s="263"/>
      <c r="S154" s="89"/>
      <c r="V154" s="694"/>
      <c r="W154" s="694"/>
      <c r="X154" s="694"/>
      <c r="Z154" s="3"/>
      <c r="AA154" s="13"/>
      <c r="AB154" s="79"/>
      <c r="AC154" s="90"/>
      <c r="AD154" s="10"/>
      <c r="AE154" s="10"/>
      <c r="AF154" s="79">
        <v>0</v>
      </c>
    </row>
    <row r="155" spans="4:32" s="21" customFormat="1" hidden="1">
      <c r="D155" s="262"/>
      <c r="E155" s="84" t="s">
        <v>762</v>
      </c>
      <c r="F155" s="72"/>
      <c r="H155" s="72"/>
      <c r="I155" s="72"/>
      <c r="J155" s="73"/>
      <c r="K155" s="257"/>
      <c r="L155" s="359" t="s">
        <v>176</v>
      </c>
      <c r="M155" s="263"/>
      <c r="N155" s="263"/>
      <c r="O155" s="263"/>
      <c r="P155" s="263"/>
      <c r="Q155" s="263"/>
      <c r="R155" s="263"/>
      <c r="S155" s="89"/>
      <c r="V155" s="694"/>
      <c r="W155" s="694"/>
      <c r="X155" s="694"/>
      <c r="Z155" s="3"/>
      <c r="AA155" s="13"/>
      <c r="AB155" s="79"/>
      <c r="AC155" s="90"/>
      <c r="AD155" s="10"/>
      <c r="AE155" s="10"/>
      <c r="AF155" s="79">
        <v>0</v>
      </c>
    </row>
    <row r="156" spans="4:32" hidden="1">
      <c r="D156" s="70"/>
      <c r="F156" s="265"/>
      <c r="G156" s="265"/>
      <c r="H156" s="265"/>
      <c r="I156" s="265"/>
      <c r="X156" s="266"/>
    </row>
    <row r="157" spans="4:32" s="21" customFormat="1" hidden="1">
      <c r="D157" s="262"/>
      <c r="E157" s="78" t="s">
        <v>180</v>
      </c>
      <c r="F157" s="72"/>
      <c r="H157" s="72"/>
      <c r="I157" s="72"/>
      <c r="J157" s="73"/>
      <c r="K157" s="257"/>
      <c r="L157" s="72"/>
      <c r="M157" s="257"/>
      <c r="N157" s="257"/>
      <c r="O157" s="257"/>
      <c r="P157" s="257"/>
      <c r="Q157" s="257"/>
      <c r="R157" s="257"/>
      <c r="S157" s="91">
        <f>SUM(S148:S155)</f>
        <v>0</v>
      </c>
      <c r="X157" s="74"/>
      <c r="Z157" s="3"/>
      <c r="AA157" s="13"/>
      <c r="AB157" s="91">
        <v>0</v>
      </c>
      <c r="AC157" s="92"/>
      <c r="AD157" s="10"/>
      <c r="AE157" s="10"/>
      <c r="AF157" s="91">
        <v>0</v>
      </c>
    </row>
    <row r="158" spans="4:32" s="21" customFormat="1" ht="7" hidden="1" customHeight="1">
      <c r="D158" s="262"/>
      <c r="E158" s="360"/>
      <c r="F158" s="72"/>
      <c r="H158" s="72"/>
      <c r="I158" s="72"/>
      <c r="J158" s="73"/>
      <c r="K158" s="257"/>
      <c r="L158" s="72"/>
      <c r="M158" s="257"/>
      <c r="N158" s="257"/>
      <c r="O158" s="257"/>
      <c r="P158" s="257"/>
      <c r="Q158" s="257"/>
      <c r="R158" s="257"/>
      <c r="S158" s="90"/>
      <c r="X158" s="74"/>
      <c r="Z158" s="3"/>
      <c r="AA158" s="13"/>
      <c r="AB158" s="90"/>
      <c r="AC158" s="90"/>
      <c r="AD158" s="10"/>
      <c r="AE158" s="10"/>
      <c r="AF158" s="90"/>
    </row>
    <row r="159" spans="4:32" s="21" customFormat="1" ht="6" customHeight="1">
      <c r="D159" s="262"/>
      <c r="E159" s="360"/>
      <c r="F159" s="72"/>
      <c r="H159" s="72"/>
      <c r="I159" s="72"/>
      <c r="J159" s="73"/>
      <c r="K159" s="257"/>
      <c r="L159" s="72"/>
      <c r="M159" s="257"/>
      <c r="N159" s="257"/>
      <c r="O159" s="257"/>
      <c r="P159" s="257"/>
      <c r="Q159" s="257"/>
      <c r="R159" s="257"/>
      <c r="S159" s="90"/>
      <c r="X159" s="74"/>
      <c r="Z159" s="3"/>
      <c r="AA159" s="13"/>
      <c r="AB159" s="90"/>
      <c r="AC159" s="90"/>
      <c r="AD159" s="10"/>
      <c r="AE159" s="10"/>
      <c r="AF159" s="90"/>
    </row>
    <row r="160" spans="4:32" s="21" customFormat="1">
      <c r="D160" s="262"/>
      <c r="E160" s="87" t="s">
        <v>181</v>
      </c>
      <c r="F160" s="72"/>
      <c r="H160" s="72"/>
      <c r="I160" s="72"/>
      <c r="J160" s="73"/>
      <c r="K160" s="257"/>
      <c r="L160" s="72"/>
      <c r="M160" s="257"/>
      <c r="N160" s="257"/>
      <c r="O160" s="257"/>
      <c r="P160" s="257"/>
      <c r="Q160" s="257"/>
      <c r="R160" s="257"/>
      <c r="S160" s="90"/>
      <c r="X160" s="74"/>
      <c r="Z160" s="3"/>
      <c r="AA160" s="13"/>
      <c r="AB160" s="90"/>
      <c r="AC160" s="90"/>
      <c r="AD160" s="10"/>
      <c r="AE160" s="10"/>
      <c r="AF160" s="90"/>
    </row>
    <row r="161" spans="4:32" s="21" customFormat="1">
      <c r="D161" s="262"/>
      <c r="E161" s="84" t="s">
        <v>755</v>
      </c>
      <c r="F161" s="72"/>
      <c r="H161" s="72"/>
      <c r="I161" s="72"/>
      <c r="J161" s="73" t="s">
        <v>182</v>
      </c>
      <c r="K161" s="72"/>
      <c r="M161" s="257"/>
      <c r="N161" s="257"/>
      <c r="O161" s="257"/>
      <c r="P161" s="257"/>
      <c r="Q161" s="257"/>
      <c r="R161" s="257"/>
      <c r="S161" s="79"/>
      <c r="V161" s="694"/>
      <c r="W161" s="694"/>
      <c r="X161" s="694"/>
      <c r="Z161" s="3"/>
      <c r="AA161" s="13"/>
      <c r="AB161" s="79"/>
      <c r="AC161" s="93"/>
      <c r="AD161" s="10"/>
      <c r="AE161" s="10"/>
      <c r="AF161" s="79">
        <v>0</v>
      </c>
    </row>
    <row r="162" spans="4:32" s="21" customFormat="1">
      <c r="D162" s="262"/>
      <c r="E162" s="84" t="s">
        <v>756</v>
      </c>
      <c r="F162" s="72"/>
      <c r="H162" s="72"/>
      <c r="I162" s="72"/>
      <c r="J162" s="73" t="s">
        <v>182</v>
      </c>
      <c r="K162" s="72"/>
      <c r="M162" s="257"/>
      <c r="N162" s="257"/>
      <c r="O162" s="257"/>
      <c r="P162" s="257"/>
      <c r="Q162" s="257"/>
      <c r="R162" s="257"/>
      <c r="S162" s="79"/>
      <c r="V162" s="694"/>
      <c r="W162" s="694"/>
      <c r="X162" s="694"/>
      <c r="Z162" s="3"/>
      <c r="AA162" s="13"/>
      <c r="AB162" s="79"/>
      <c r="AC162" s="93"/>
      <c r="AD162" s="10"/>
      <c r="AE162" s="10"/>
      <c r="AF162" s="79">
        <v>0</v>
      </c>
    </row>
    <row r="163" spans="4:32" s="21" customFormat="1">
      <c r="D163" s="262"/>
      <c r="E163" s="360"/>
      <c r="F163" s="72"/>
      <c r="H163" s="72"/>
      <c r="I163" s="72"/>
      <c r="J163" s="73"/>
      <c r="K163" s="72"/>
      <c r="M163" s="257"/>
      <c r="N163" s="257"/>
      <c r="O163" s="257"/>
      <c r="P163" s="257"/>
      <c r="Q163" s="257"/>
      <c r="R163" s="257"/>
      <c r="S163" s="90"/>
      <c r="X163" s="74"/>
      <c r="Z163" s="3"/>
      <c r="AA163" s="13"/>
      <c r="AB163" s="90"/>
      <c r="AC163" s="90"/>
      <c r="AD163" s="10"/>
      <c r="AE163" s="10"/>
      <c r="AF163" s="90"/>
    </row>
    <row r="164" spans="4:32" s="21" customFormat="1">
      <c r="D164" s="262"/>
      <c r="E164" s="87" t="s">
        <v>183</v>
      </c>
      <c r="F164" s="72"/>
      <c r="H164" s="72"/>
      <c r="I164" s="72"/>
      <c r="J164" s="73"/>
      <c r="K164" s="72"/>
      <c r="M164" s="257"/>
      <c r="N164" s="257"/>
      <c r="O164" s="257"/>
      <c r="P164" s="257"/>
      <c r="Q164" s="257"/>
      <c r="R164" s="257"/>
      <c r="S164" s="90"/>
      <c r="X164" s="74"/>
      <c r="Z164" s="3"/>
      <c r="AA164" s="13"/>
      <c r="AB164" s="90"/>
      <c r="AC164" s="90"/>
      <c r="AD164" s="10"/>
      <c r="AE164" s="10"/>
      <c r="AF164" s="90"/>
    </row>
    <row r="165" spans="4:32" s="21" customFormat="1">
      <c r="D165" s="262"/>
      <c r="E165" s="84" t="s">
        <v>759</v>
      </c>
      <c r="F165" s="72"/>
      <c r="H165" s="72"/>
      <c r="I165" s="72"/>
      <c r="J165" s="73" t="s">
        <v>184</v>
      </c>
      <c r="K165" s="72"/>
      <c r="M165" s="257"/>
      <c r="N165" s="257"/>
      <c r="O165" s="257"/>
      <c r="P165" s="257"/>
      <c r="Q165" s="257"/>
      <c r="R165" s="257"/>
      <c r="S165" s="79"/>
      <c r="V165" s="694"/>
      <c r="W165" s="694"/>
      <c r="X165" s="694"/>
      <c r="Z165" s="3"/>
      <c r="AA165" s="13"/>
      <c r="AB165" s="79"/>
      <c r="AC165" s="93"/>
      <c r="AD165" s="10"/>
      <c r="AE165" s="10"/>
      <c r="AF165" s="79">
        <v>0</v>
      </c>
    </row>
    <row r="166" spans="4:32" s="21" customFormat="1">
      <c r="D166" s="262"/>
      <c r="E166" s="84" t="s">
        <v>760</v>
      </c>
      <c r="F166" s="72"/>
      <c r="H166" s="72"/>
      <c r="I166" s="72"/>
      <c r="J166" s="73" t="s">
        <v>184</v>
      </c>
      <c r="K166" s="72"/>
      <c r="M166" s="257"/>
      <c r="N166" s="257"/>
      <c r="O166" s="257"/>
      <c r="P166" s="257"/>
      <c r="Q166" s="257"/>
      <c r="R166" s="257"/>
      <c r="S166" s="79"/>
      <c r="V166" s="694"/>
      <c r="W166" s="694"/>
      <c r="X166" s="694"/>
      <c r="Z166" s="3"/>
      <c r="AA166" s="13"/>
      <c r="AB166" s="79"/>
      <c r="AC166" s="93"/>
      <c r="AD166" s="10"/>
      <c r="AE166" s="10"/>
      <c r="AF166" s="79"/>
    </row>
    <row r="167" spans="4:32" s="21" customFormat="1" ht="10.5" customHeight="1">
      <c r="D167" s="262"/>
      <c r="E167" s="94"/>
      <c r="F167" s="72"/>
      <c r="H167" s="72"/>
      <c r="I167" s="72"/>
      <c r="J167" s="73"/>
      <c r="K167" s="72"/>
      <c r="M167" s="257"/>
      <c r="N167" s="257"/>
      <c r="O167" s="257"/>
      <c r="P167" s="257"/>
      <c r="Q167" s="257"/>
      <c r="R167" s="257"/>
      <c r="S167" s="95"/>
      <c r="X167" s="74"/>
      <c r="Z167" s="3"/>
      <c r="AA167" s="13"/>
      <c r="AB167" s="95"/>
      <c r="AC167" s="93"/>
      <c r="AD167" s="10"/>
      <c r="AE167" s="10"/>
      <c r="AF167" s="95"/>
    </row>
    <row r="168" spans="4:32" s="21" customFormat="1">
      <c r="D168" s="262"/>
      <c r="E168" s="84" t="s">
        <v>763</v>
      </c>
      <c r="F168" s="72"/>
      <c r="H168" s="72"/>
      <c r="I168" s="72"/>
      <c r="J168" s="73" t="s">
        <v>184</v>
      </c>
      <c r="K168" s="72"/>
      <c r="M168" s="257"/>
      <c r="N168" s="257"/>
      <c r="O168" s="257"/>
      <c r="P168" s="257"/>
      <c r="Q168" s="257"/>
      <c r="R168" s="257"/>
      <c r="S168" s="79"/>
      <c r="V168" s="694"/>
      <c r="W168" s="694"/>
      <c r="X168" s="694"/>
      <c r="Z168" s="3"/>
      <c r="AA168" s="13"/>
      <c r="AB168" s="79"/>
      <c r="AC168" s="93"/>
      <c r="AD168" s="10"/>
      <c r="AE168" s="10"/>
      <c r="AF168" s="79">
        <v>0</v>
      </c>
    </row>
    <row r="169" spans="4:32" s="21" customFormat="1" ht="8.15" customHeight="1">
      <c r="D169" s="262"/>
      <c r="E169" s="360"/>
      <c r="F169" s="72"/>
      <c r="H169" s="72"/>
      <c r="I169" s="72"/>
      <c r="J169" s="73"/>
      <c r="K169" s="257"/>
      <c r="L169" s="257"/>
      <c r="M169" s="257"/>
      <c r="N169" s="257"/>
      <c r="O169" s="257"/>
      <c r="P169" s="257"/>
      <c r="Q169" s="257"/>
      <c r="R169" s="257"/>
      <c r="S169" s="90"/>
      <c r="T169" s="72"/>
      <c r="U169" s="72"/>
      <c r="V169" s="72"/>
      <c r="W169" s="72"/>
      <c r="X169" s="74"/>
      <c r="Z169" s="3"/>
      <c r="AA169" s="13"/>
      <c r="AB169" s="90"/>
      <c r="AC169" s="90"/>
      <c r="AD169" s="10"/>
      <c r="AE169" s="10"/>
      <c r="AF169" s="90"/>
    </row>
    <row r="170" spans="4:32" s="21" customFormat="1">
      <c r="D170" s="262"/>
      <c r="E170" s="71" t="s">
        <v>185</v>
      </c>
      <c r="F170" s="72"/>
      <c r="H170" s="72"/>
      <c r="I170" s="72"/>
      <c r="J170" s="73"/>
      <c r="K170" s="257"/>
      <c r="L170" s="257"/>
      <c r="M170" s="257"/>
      <c r="N170" s="257"/>
      <c r="O170" s="257"/>
      <c r="P170" s="257"/>
      <c r="Q170" s="257"/>
      <c r="R170" s="257"/>
      <c r="S170" s="18">
        <f>+K144+S144+S157+S161+S162+S165+S166+S168</f>
        <v>0</v>
      </c>
      <c r="T170" s="72"/>
      <c r="U170" s="72"/>
      <c r="V170" s="72"/>
      <c r="W170" s="72"/>
      <c r="X170" s="74"/>
      <c r="Z170" s="3"/>
      <c r="AA170" s="13"/>
      <c r="AB170" s="18">
        <v>0</v>
      </c>
      <c r="AC170" s="23"/>
      <c r="AD170" s="10"/>
      <c r="AE170" s="10"/>
      <c r="AF170" s="96">
        <v>0</v>
      </c>
    </row>
    <row r="171" spans="4:32">
      <c r="D171" s="70"/>
      <c r="F171" s="265"/>
      <c r="G171" s="265"/>
      <c r="H171" s="265"/>
      <c r="I171" s="265"/>
      <c r="X171" s="266"/>
    </row>
    <row r="172" spans="4:32" s="97" customFormat="1" ht="17.5" customHeight="1">
      <c r="D172" s="361"/>
      <c r="E172" s="97" t="s">
        <v>186</v>
      </c>
      <c r="F172" s="72"/>
      <c r="H172" s="72"/>
      <c r="I172" s="72"/>
      <c r="J172" s="72"/>
      <c r="K172" s="257"/>
      <c r="L172" s="257"/>
      <c r="M172" s="257"/>
      <c r="N172" s="257"/>
      <c r="O172" s="257"/>
      <c r="P172" s="257"/>
      <c r="Q172" s="257"/>
      <c r="R172" s="257"/>
      <c r="S172" s="18">
        <f>+S124-S170</f>
        <v>0</v>
      </c>
      <c r="T172" s="362" t="s">
        <v>187</v>
      </c>
      <c r="U172" s="362"/>
      <c r="V172" s="72"/>
      <c r="W172" s="72"/>
      <c r="X172" s="74"/>
      <c r="Z172" s="98"/>
      <c r="AA172" s="9"/>
      <c r="AB172" s="18">
        <v>0</v>
      </c>
      <c r="AC172" s="23"/>
      <c r="AD172" s="8"/>
      <c r="AE172" s="8"/>
      <c r="AF172" s="18">
        <v>0</v>
      </c>
    </row>
    <row r="173" spans="4:32" s="21" customFormat="1" ht="5.5" customHeight="1">
      <c r="D173" s="262"/>
      <c r="F173" s="72"/>
      <c r="H173" s="72"/>
      <c r="I173" s="72"/>
      <c r="J173" s="73"/>
      <c r="K173" s="257"/>
      <c r="L173" s="257"/>
      <c r="M173" s="257"/>
      <c r="N173" s="257"/>
      <c r="O173" s="257"/>
      <c r="P173" s="257"/>
      <c r="Q173" s="257"/>
      <c r="R173" s="257"/>
      <c r="S173" s="257"/>
      <c r="T173" s="72"/>
      <c r="U173" s="72"/>
      <c r="V173" s="72"/>
      <c r="W173" s="72"/>
      <c r="X173" s="74"/>
      <c r="Z173" s="3"/>
      <c r="AA173" s="13"/>
      <c r="AB173" s="10"/>
      <c r="AC173" s="10"/>
      <c r="AD173" s="10"/>
      <c r="AE173" s="10"/>
      <c r="AF173" s="10"/>
    </row>
    <row r="174" spans="4:32" s="21" customFormat="1" hidden="1">
      <c r="D174" s="262"/>
      <c r="E174" s="21" t="s">
        <v>188</v>
      </c>
      <c r="F174" s="72"/>
      <c r="H174" s="72"/>
      <c r="I174" s="72"/>
      <c r="J174" s="73"/>
      <c r="K174" s="257"/>
      <c r="L174" s="257"/>
      <c r="M174" s="257"/>
      <c r="N174" s="257"/>
      <c r="O174" s="257"/>
      <c r="P174" s="257"/>
      <c r="Q174" s="257"/>
      <c r="R174" s="257"/>
      <c r="S174" s="257"/>
      <c r="T174" s="72"/>
      <c r="U174" s="72"/>
      <c r="V174" s="72"/>
      <c r="W174" s="72"/>
      <c r="X174" s="74"/>
      <c r="Z174" s="3"/>
      <c r="AA174" s="13"/>
      <c r="AB174" s="10"/>
      <c r="AC174" s="10"/>
      <c r="AD174" s="10"/>
      <c r="AE174" s="10"/>
      <c r="AF174" s="10"/>
    </row>
    <row r="175" spans="4:32" s="21" customFormat="1" ht="6" customHeight="1">
      <c r="D175" s="363"/>
      <c r="E175" s="364"/>
      <c r="F175" s="83"/>
      <c r="G175" s="106"/>
      <c r="H175" s="106"/>
      <c r="I175" s="106"/>
      <c r="J175" s="365"/>
      <c r="K175" s="365"/>
      <c r="L175" s="365"/>
      <c r="M175" s="365"/>
      <c r="N175" s="365"/>
      <c r="O175" s="365"/>
      <c r="P175" s="365"/>
      <c r="Q175" s="365"/>
      <c r="R175" s="365"/>
      <c r="S175" s="365"/>
      <c r="T175" s="83"/>
      <c r="U175" s="83"/>
      <c r="V175" s="83"/>
      <c r="W175" s="83"/>
      <c r="X175" s="366"/>
      <c r="Z175" s="3"/>
      <c r="AA175" s="13"/>
      <c r="AB175" s="10"/>
      <c r="AC175" s="10"/>
      <c r="AD175" s="10"/>
      <c r="AE175" s="10"/>
      <c r="AF175" s="10"/>
    </row>
    <row r="176" spans="4:32" s="21" customFormat="1" hidden="1">
      <c r="E176" s="358" t="s">
        <v>752</v>
      </c>
      <c r="F176" s="72"/>
      <c r="G176" s="73"/>
      <c r="H176" s="73"/>
      <c r="I176" s="73"/>
      <c r="J176" s="261"/>
      <c r="K176" s="257"/>
      <c r="L176" s="257"/>
      <c r="M176" s="257"/>
      <c r="N176" s="257"/>
      <c r="O176" s="257"/>
      <c r="P176" s="257"/>
      <c r="Q176" s="257"/>
      <c r="R176" s="257"/>
      <c r="S176" s="257"/>
      <c r="T176" s="72"/>
      <c r="U176" s="72"/>
      <c r="V176" s="72"/>
      <c r="W176" s="72"/>
      <c r="X176" s="74"/>
      <c r="Z176" s="3"/>
      <c r="AA176" s="13"/>
      <c r="AB176" s="10"/>
      <c r="AC176" s="10"/>
      <c r="AD176" s="10"/>
      <c r="AE176" s="10"/>
      <c r="AF176" s="10"/>
    </row>
    <row r="177" spans="4:9" hidden="1"/>
    <row r="178" spans="4:9" s="21" customFormat="1" ht="39" hidden="1" customHeight="1">
      <c r="D178" s="70"/>
      <c r="E178" s="100" t="s">
        <v>764</v>
      </c>
      <c r="F178" s="72"/>
      <c r="G178" s="73"/>
      <c r="H178" s="99">
        <f>SUM(S32:S39,S106)</f>
        <v>0</v>
      </c>
      <c r="I178" s="72"/>
    </row>
    <row r="179" spans="4:9" s="21" customFormat="1" hidden="1">
      <c r="D179" s="70"/>
      <c r="E179" s="101" t="s">
        <v>753</v>
      </c>
      <c r="F179" s="72"/>
      <c r="G179" s="73"/>
      <c r="H179" s="99" t="e">
        <f>VLOOKUP(E4,Payments!A:G,108,FALSE)</f>
        <v>#REF!</v>
      </c>
      <c r="I179" s="72"/>
    </row>
    <row r="180" spans="4:9" s="21" customFormat="1" hidden="1">
      <c r="D180" s="70"/>
      <c r="E180" s="101" t="s">
        <v>189</v>
      </c>
      <c r="F180" s="72"/>
      <c r="G180" s="73"/>
      <c r="H180" s="99" t="e">
        <f>H178-H179</f>
        <v>#REF!</v>
      </c>
      <c r="I180" s="102" t="s">
        <v>314</v>
      </c>
    </row>
    <row r="181" spans="4:9" s="21" customFormat="1" ht="13.5" hidden="1" customHeight="1">
      <c r="D181" s="70"/>
      <c r="F181" s="72"/>
      <c r="G181" s="73"/>
      <c r="H181" s="257"/>
      <c r="I181" s="21" t="s">
        <v>190</v>
      </c>
    </row>
    <row r="182" spans="4:9" s="21" customFormat="1" ht="6" hidden="1" customHeight="1">
      <c r="D182" s="70"/>
    </row>
    <row r="183" spans="4:9" s="21" customFormat="1" ht="1.5" hidden="1" customHeight="1">
      <c r="D183" s="70"/>
      <c r="E183" s="71"/>
      <c r="F183" s="72"/>
      <c r="G183" s="73"/>
      <c r="H183" s="257"/>
      <c r="I183" s="267"/>
    </row>
    <row r="184" spans="4:9" s="21" customFormat="1" hidden="1">
      <c r="D184" s="70">
        <v>2</v>
      </c>
      <c r="E184" s="99" t="s">
        <v>191</v>
      </c>
      <c r="F184" s="72"/>
      <c r="G184" s="73"/>
    </row>
    <row r="185" spans="4:9" s="21" customFormat="1" hidden="1">
      <c r="D185" s="70"/>
      <c r="E185" s="99"/>
      <c r="F185" s="72"/>
      <c r="G185" s="73"/>
    </row>
    <row r="186" spans="4:9" s="21" customFormat="1" hidden="1">
      <c r="D186" s="70"/>
      <c r="E186" s="101" t="s">
        <v>192</v>
      </c>
      <c r="F186" s="72"/>
      <c r="G186" s="73"/>
      <c r="H186" s="99">
        <f>+S157</f>
        <v>0</v>
      </c>
      <c r="I186" s="72"/>
    </row>
    <row r="187" spans="4:9" s="21" customFormat="1" hidden="1">
      <c r="D187" s="70"/>
      <c r="E187" s="101" t="s">
        <v>193</v>
      </c>
      <c r="F187" s="72"/>
      <c r="G187" s="73"/>
      <c r="H187" s="99">
        <f>Q71+Q94+Q110</f>
        <v>0</v>
      </c>
      <c r="I187" s="72"/>
    </row>
    <row r="188" spans="4:9" s="21" customFormat="1" hidden="1">
      <c r="D188" s="70"/>
      <c r="E188" s="101" t="s">
        <v>189</v>
      </c>
      <c r="F188" s="72"/>
      <c r="G188" s="73"/>
      <c r="H188" s="99">
        <v>0</v>
      </c>
    </row>
    <row r="189" spans="4:9" s="21" customFormat="1" ht="7" hidden="1" customHeight="1">
      <c r="D189" s="70"/>
      <c r="E189" s="71"/>
      <c r="F189" s="72"/>
      <c r="G189" s="73"/>
      <c r="H189" s="257"/>
    </row>
    <row r="190" spans="4:9" s="21" customFormat="1" hidden="1">
      <c r="D190" s="70">
        <v>3</v>
      </c>
      <c r="E190" s="71" t="s">
        <v>766</v>
      </c>
      <c r="F190" s="72"/>
      <c r="G190" s="73"/>
      <c r="H190" s="99">
        <v>0</v>
      </c>
    </row>
    <row r="191" spans="4:9" s="21" customFormat="1" hidden="1">
      <c r="D191" s="70"/>
      <c r="E191" s="268" t="s">
        <v>194</v>
      </c>
      <c r="F191" s="72"/>
      <c r="G191" s="73"/>
      <c r="H191" s="257"/>
    </row>
    <row r="192" spans="4:9" hidden="1"/>
    <row r="193" spans="4:8" s="21" customFormat="1" hidden="1">
      <c r="D193" s="70">
        <v>4</v>
      </c>
      <c r="E193" s="71" t="s">
        <v>767</v>
      </c>
      <c r="F193" s="72"/>
      <c r="G193" s="73"/>
      <c r="H193" s="99">
        <v>0</v>
      </c>
    </row>
    <row r="194" spans="4:8" s="21" customFormat="1" hidden="1">
      <c r="D194" s="70"/>
      <c r="E194" s="268" t="s">
        <v>194</v>
      </c>
      <c r="F194" s="72"/>
      <c r="G194" s="73"/>
      <c r="H194" s="257"/>
    </row>
    <row r="195" spans="4:8" s="21" customFormat="1" hidden="1">
      <c r="D195" s="70"/>
      <c r="E195" s="71"/>
      <c r="F195" s="72"/>
      <c r="G195" s="73"/>
      <c r="H195" s="257"/>
    </row>
    <row r="196" spans="4:8" s="21" customFormat="1" hidden="1">
      <c r="D196" s="70"/>
      <c r="E196" s="71" t="s">
        <v>195</v>
      </c>
      <c r="F196" s="72"/>
      <c r="G196" s="73"/>
      <c r="H196" s="103">
        <v>45565</v>
      </c>
    </row>
    <row r="197" spans="4:8" s="21" customFormat="1" hidden="1">
      <c r="D197" s="70"/>
      <c r="E197" s="71"/>
      <c r="F197" s="72"/>
      <c r="G197" s="73"/>
      <c r="H197" s="269"/>
    </row>
    <row r="198" spans="4:8" s="21" customFormat="1" ht="12.5" hidden="1" thickBot="1">
      <c r="D198" s="70"/>
      <c r="E198" s="71"/>
      <c r="F198" s="72"/>
      <c r="G198" s="73"/>
      <c r="H198" s="269"/>
    </row>
    <row r="199" spans="4:8" s="21" customFormat="1" hidden="1">
      <c r="D199" s="70"/>
      <c r="E199" s="215" t="s">
        <v>325</v>
      </c>
      <c r="F199" s="216"/>
      <c r="G199" s="217"/>
      <c r="H199" s="269"/>
    </row>
    <row r="200" spans="4:8" s="21" customFormat="1" hidden="1">
      <c r="D200" s="70"/>
      <c r="E200" s="218"/>
      <c r="F200" s="253" t="s">
        <v>326</v>
      </c>
      <c r="G200" s="219"/>
      <c r="H200" s="269"/>
    </row>
    <row r="201" spans="4:8" s="21" customFormat="1" hidden="1">
      <c r="D201" s="70"/>
      <c r="E201" s="218"/>
      <c r="F201" s="73"/>
      <c r="G201" s="219"/>
      <c r="H201" s="269"/>
    </row>
    <row r="202" spans="4:8" s="21" customFormat="1" hidden="1">
      <c r="D202" s="70"/>
      <c r="E202" s="220" t="s">
        <v>312</v>
      </c>
      <c r="F202" s="254">
        <f>S30</f>
        <v>0</v>
      </c>
      <c r="G202" s="219"/>
      <c r="H202" s="269"/>
    </row>
    <row r="203" spans="4:8" s="21" customFormat="1" hidden="1">
      <c r="D203" s="70"/>
      <c r="E203" s="220" t="s">
        <v>311</v>
      </c>
      <c r="F203" s="254">
        <f>S69</f>
        <v>0</v>
      </c>
      <c r="G203" s="219"/>
      <c r="H203" s="269"/>
    </row>
    <row r="204" spans="4:8" s="21" customFormat="1" hidden="1">
      <c r="D204" s="262"/>
      <c r="E204" s="221" t="s">
        <v>768</v>
      </c>
      <c r="F204" s="255">
        <f>F202-F203</f>
        <v>0</v>
      </c>
      <c r="G204" s="75"/>
    </row>
    <row r="205" spans="4:8" s="21" customFormat="1" hidden="1">
      <c r="D205" s="262"/>
      <c r="E205" s="222"/>
      <c r="F205" s="255"/>
      <c r="G205" s="75"/>
    </row>
    <row r="206" spans="4:8" s="21" customFormat="1" hidden="1">
      <c r="D206" s="262"/>
      <c r="E206" s="223"/>
      <c r="F206" s="255"/>
      <c r="G206" s="75"/>
    </row>
    <row r="207" spans="4:8" s="21" customFormat="1" ht="12.5" hidden="1" thickBot="1">
      <c r="D207" s="262"/>
      <c r="E207" s="224" t="s">
        <v>769</v>
      </c>
      <c r="F207" s="225">
        <f>F204</f>
        <v>0</v>
      </c>
      <c r="G207" s="75"/>
    </row>
    <row r="208" spans="4:8" hidden="1"/>
    <row r="209" spans="4:8" s="21" customFormat="1" hidden="1">
      <c r="D209" s="262"/>
      <c r="E209" s="221" t="s">
        <v>329</v>
      </c>
      <c r="F209" s="255">
        <f>S13</f>
        <v>0</v>
      </c>
      <c r="G209" s="75"/>
    </row>
    <row r="210" spans="4:8" s="21" customFormat="1" hidden="1">
      <c r="D210" s="262"/>
      <c r="E210" s="223"/>
      <c r="F210" s="255"/>
      <c r="G210" s="75"/>
    </row>
    <row r="211" spans="4:8" s="21" customFormat="1" ht="12.5" hidden="1" thickBot="1">
      <c r="D211" s="262"/>
      <c r="E211" s="224" t="s">
        <v>754</v>
      </c>
      <c r="F211" s="225">
        <f>F207+F209</f>
        <v>0</v>
      </c>
      <c r="G211" s="75"/>
    </row>
    <row r="212" spans="4:8" s="21" customFormat="1" ht="12.5" hidden="1" thickTop="1">
      <c r="D212" s="262"/>
      <c r="E212" s="223"/>
      <c r="F212" s="255"/>
      <c r="G212" s="75"/>
    </row>
    <row r="213" spans="4:8" s="21" customFormat="1" hidden="1">
      <c r="D213" s="262"/>
      <c r="E213" s="226" t="s">
        <v>765</v>
      </c>
      <c r="F213" s="254">
        <f>K144</f>
        <v>0</v>
      </c>
      <c r="G213" s="75"/>
    </row>
    <row r="214" spans="4:8" s="21" customFormat="1" hidden="1">
      <c r="D214" s="262"/>
      <c r="E214" s="226"/>
      <c r="F214" s="254"/>
      <c r="G214" s="75"/>
    </row>
    <row r="215" spans="4:8" s="21" customFormat="1" hidden="1">
      <c r="D215" s="262"/>
      <c r="E215" s="226" t="s">
        <v>330</v>
      </c>
      <c r="F215" s="254">
        <f>F211-F213</f>
        <v>0</v>
      </c>
      <c r="G215" s="75"/>
    </row>
    <row r="216" spans="4:8" s="21" customFormat="1" hidden="1">
      <c r="D216" s="262"/>
      <c r="E216" s="226"/>
      <c r="F216" s="254"/>
      <c r="G216" s="75"/>
    </row>
    <row r="217" spans="4:8" s="21" customFormat="1" hidden="1">
      <c r="D217" s="262"/>
      <c r="E217" s="226" t="s">
        <v>327</v>
      </c>
      <c r="F217" s="254">
        <f>S96</f>
        <v>0</v>
      </c>
      <c r="G217" s="75"/>
    </row>
    <row r="218" spans="4:8" s="21" customFormat="1" hidden="1">
      <c r="D218" s="262"/>
      <c r="E218" s="226"/>
      <c r="F218" s="254"/>
      <c r="G218" s="75"/>
    </row>
    <row r="219" spans="4:8" s="21" customFormat="1" ht="12.5" hidden="1" thickBot="1">
      <c r="D219" s="262"/>
      <c r="E219" s="224" t="s">
        <v>328</v>
      </c>
      <c r="F219" s="225">
        <f>F215+F217</f>
        <v>0</v>
      </c>
      <c r="G219" s="256"/>
    </row>
    <row r="220" spans="4:8" ht="12.5" hidden="1" thickTop="1">
      <c r="D220" s="70"/>
      <c r="F220" s="265"/>
      <c r="G220" s="265"/>
      <c r="H220" s="265"/>
    </row>
    <row r="221" spans="4:8" hidden="1">
      <c r="D221" s="70"/>
      <c r="F221" s="265"/>
      <c r="G221" s="265"/>
      <c r="H221" s="265"/>
    </row>
    <row r="222" spans="4:8" hidden="1">
      <c r="D222" s="70"/>
      <c r="F222" s="265"/>
      <c r="G222" s="265"/>
      <c r="H222" s="265"/>
    </row>
    <row r="223" spans="4:8" hidden="1">
      <c r="D223" s="70"/>
      <c r="F223" s="265"/>
      <c r="G223" s="265"/>
      <c r="H223" s="265"/>
    </row>
    <row r="224" spans="4:8" s="21" customFormat="1" hidden="1">
      <c r="D224" s="70">
        <v>7</v>
      </c>
      <c r="E224" s="71" t="s">
        <v>209</v>
      </c>
      <c r="F224" s="72"/>
      <c r="G224" s="73"/>
      <c r="H224" s="104">
        <v>0</v>
      </c>
    </row>
    <row r="225" spans="4:24" s="21" customFormat="1" ht="12.5" hidden="1" thickBot="1">
      <c r="D225" s="70"/>
      <c r="E225" s="268" t="s">
        <v>194</v>
      </c>
      <c r="F225" s="72"/>
      <c r="G225" s="73"/>
      <c r="H225" s="73"/>
    </row>
    <row r="226" spans="4:24" s="21" customFormat="1" ht="6.65" hidden="1" customHeight="1">
      <c r="D226" s="70"/>
      <c r="E226" s="268"/>
      <c r="F226" s="72"/>
      <c r="G226" s="73"/>
      <c r="H226" s="73"/>
    </row>
    <row r="227" spans="4:24" s="21" customFormat="1" hidden="1">
      <c r="D227" s="70">
        <v>6</v>
      </c>
      <c r="E227" s="71" t="s">
        <v>210</v>
      </c>
      <c r="F227" s="72"/>
      <c r="G227" s="73"/>
      <c r="H227" s="104">
        <v>0</v>
      </c>
    </row>
    <row r="228" spans="4:24" s="21" customFormat="1" hidden="1">
      <c r="D228" s="70"/>
      <c r="E228" s="268" t="s">
        <v>194</v>
      </c>
      <c r="F228" s="72"/>
      <c r="G228" s="73"/>
      <c r="H228" s="73"/>
    </row>
    <row r="229" spans="4:24">
      <c r="D229" s="107"/>
      <c r="E229" s="108"/>
      <c r="F229" s="109"/>
      <c r="G229" s="110"/>
      <c r="H229" s="110"/>
      <c r="I229" s="68"/>
      <c r="J229" s="48"/>
      <c r="K229" s="48"/>
      <c r="L229" s="48"/>
      <c r="M229" s="48"/>
      <c r="N229" s="48"/>
      <c r="O229" s="48"/>
      <c r="P229" s="48"/>
      <c r="Q229" s="48"/>
      <c r="R229" s="48"/>
      <c r="S229" s="48"/>
      <c r="T229" s="48"/>
      <c r="U229" s="48"/>
      <c r="V229" s="48"/>
      <c r="W229" s="48"/>
      <c r="X229" s="353"/>
    </row>
    <row r="230" spans="4:24" ht="18">
      <c r="D230" s="111" t="s">
        <v>196</v>
      </c>
      <c r="E230" s="354"/>
      <c r="F230" s="270"/>
      <c r="G230" s="271"/>
      <c r="H230" s="271"/>
      <c r="I230" s="265"/>
      <c r="X230" s="266"/>
    </row>
    <row r="231" spans="4:24" ht="10.5" customHeight="1">
      <c r="D231" s="111"/>
      <c r="E231" s="354"/>
      <c r="F231" s="270"/>
      <c r="G231" s="271"/>
      <c r="H231" s="271"/>
      <c r="I231" s="265"/>
      <c r="X231" s="266"/>
    </row>
    <row r="232" spans="4:24" s="21" customFormat="1" ht="10.5" customHeight="1">
      <c r="D232" s="112"/>
      <c r="E232" s="695" t="s">
        <v>197</v>
      </c>
      <c r="F232" s="695"/>
      <c r="G232" s="355"/>
      <c r="H232" s="355"/>
      <c r="X232" s="266"/>
    </row>
    <row r="233" spans="4:24">
      <c r="D233" s="70"/>
      <c r="F233" s="265"/>
      <c r="G233" s="265"/>
      <c r="H233" s="265"/>
      <c r="I233" s="265"/>
      <c r="X233" s="266"/>
    </row>
    <row r="234" spans="4:24">
      <c r="D234" s="70"/>
      <c r="F234" s="265"/>
      <c r="G234" s="265"/>
      <c r="H234" s="265"/>
      <c r="I234" s="265"/>
      <c r="X234" s="266"/>
    </row>
    <row r="235" spans="4:24">
      <c r="D235" s="70"/>
      <c r="F235" s="265"/>
      <c r="G235" s="265"/>
      <c r="H235" s="265"/>
      <c r="I235" s="265"/>
      <c r="X235" s="266"/>
    </row>
    <row r="236" spans="4:24" s="21" customFormat="1" ht="15" customHeight="1">
      <c r="D236" s="262"/>
      <c r="E236" s="356" t="s">
        <v>198</v>
      </c>
      <c r="F236" s="696" t="s">
        <v>199</v>
      </c>
      <c r="G236" s="696"/>
      <c r="H236" s="696"/>
      <c r="I236" s="696"/>
      <c r="J236" s="696"/>
      <c r="K236" s="696"/>
      <c r="L236" s="696"/>
      <c r="M236" s="696"/>
      <c r="N236" s="696"/>
      <c r="O236" s="696"/>
      <c r="P236" s="696"/>
      <c r="Q236" s="696"/>
      <c r="R236" s="696"/>
      <c r="S236" s="696"/>
      <c r="T236" s="696"/>
      <c r="U236" s="696"/>
      <c r="V236" s="696"/>
      <c r="X236" s="266"/>
    </row>
    <row r="237" spans="4:24" s="21" customFormat="1">
      <c r="D237" s="262"/>
      <c r="E237" s="357"/>
      <c r="F237" s="357"/>
      <c r="G237" s="357"/>
      <c r="H237" s="357"/>
      <c r="I237" s="357"/>
      <c r="J237" s="354"/>
      <c r="K237" s="354"/>
      <c r="L237" s="354"/>
      <c r="M237" s="354"/>
      <c r="N237" s="354"/>
      <c r="O237" s="354"/>
      <c r="P237" s="354"/>
      <c r="Q237" s="354"/>
      <c r="R237" s="354"/>
      <c r="S237" s="354"/>
      <c r="T237" s="354"/>
      <c r="U237" s="354"/>
      <c r="V237" s="354"/>
      <c r="X237" s="266"/>
    </row>
    <row r="238" spans="4:24" s="21" customFormat="1">
      <c r="D238" s="262"/>
      <c r="E238" s="357"/>
      <c r="F238" s="357"/>
      <c r="G238" s="357"/>
      <c r="H238" s="357"/>
      <c r="I238" s="357"/>
      <c r="J238" s="354"/>
      <c r="K238" s="354"/>
      <c r="L238" s="354"/>
      <c r="M238" s="354"/>
      <c r="N238" s="354"/>
      <c r="O238" s="354"/>
      <c r="P238" s="354"/>
      <c r="Q238" s="354"/>
      <c r="R238" s="354"/>
      <c r="S238" s="354"/>
      <c r="T238" s="354"/>
      <c r="U238" s="354"/>
      <c r="V238" s="354"/>
      <c r="X238" s="266"/>
    </row>
    <row r="239" spans="4:24" s="21" customFormat="1" ht="15" customHeight="1">
      <c r="D239" s="262"/>
      <c r="E239" s="356" t="s">
        <v>200</v>
      </c>
      <c r="F239" s="692"/>
      <c r="G239" s="692"/>
      <c r="H239" s="692"/>
      <c r="I239" s="692"/>
      <c r="J239" s="692"/>
      <c r="K239" s="692"/>
      <c r="L239" s="692"/>
      <c r="M239" s="692"/>
      <c r="N239" s="692"/>
      <c r="O239" s="692"/>
      <c r="P239" s="692"/>
      <c r="Q239" s="692"/>
      <c r="R239" s="692"/>
      <c r="S239" s="692"/>
      <c r="T239" s="692"/>
      <c r="U239" s="692"/>
      <c r="V239" s="692"/>
      <c r="X239" s="266"/>
    </row>
    <row r="240" spans="4:24">
      <c r="D240" s="70"/>
      <c r="F240" s="265"/>
      <c r="G240" s="265"/>
      <c r="H240" s="265"/>
      <c r="I240" s="265"/>
      <c r="X240" s="266"/>
    </row>
    <row r="241" spans="4:24">
      <c r="D241" s="70"/>
      <c r="F241" s="265"/>
      <c r="G241" s="265"/>
      <c r="H241" s="265"/>
      <c r="I241" s="265"/>
      <c r="X241" s="266"/>
    </row>
    <row r="242" spans="4:24" s="21" customFormat="1" ht="15" customHeight="1">
      <c r="D242" s="262"/>
      <c r="E242" s="356" t="s">
        <v>201</v>
      </c>
      <c r="F242" s="693"/>
      <c r="G242" s="692"/>
      <c r="H242" s="692"/>
      <c r="I242" s="692"/>
      <c r="J242" s="692"/>
      <c r="K242" s="692"/>
      <c r="L242" s="692"/>
      <c r="M242" s="692"/>
      <c r="N242" s="692"/>
      <c r="O242" s="692"/>
      <c r="P242" s="692"/>
      <c r="Q242" s="692"/>
      <c r="R242" s="692"/>
      <c r="S242" s="692"/>
      <c r="T242" s="692"/>
      <c r="U242" s="692"/>
      <c r="V242" s="692"/>
      <c r="X242" s="266"/>
    </row>
    <row r="243" spans="4:24">
      <c r="D243" s="70"/>
      <c r="F243" s="265"/>
      <c r="G243" s="265"/>
      <c r="H243" s="265"/>
      <c r="I243" s="265"/>
      <c r="X243" s="266"/>
    </row>
    <row r="244" spans="4:24">
      <c r="D244" s="70"/>
      <c r="F244" s="265"/>
      <c r="G244" s="265"/>
      <c r="H244" s="265"/>
      <c r="I244" s="265"/>
      <c r="X244" s="266"/>
    </row>
    <row r="245" spans="4:24">
      <c r="D245" s="70"/>
      <c r="F245" s="265"/>
      <c r="G245" s="265"/>
      <c r="H245" s="265"/>
      <c r="I245" s="265"/>
      <c r="X245" s="266"/>
    </row>
    <row r="246" spans="4:24">
      <c r="D246" s="70"/>
      <c r="F246" s="265"/>
      <c r="G246" s="265"/>
      <c r="H246" s="265"/>
      <c r="I246" s="265"/>
      <c r="X246" s="266"/>
    </row>
    <row r="247" spans="4:24">
      <c r="D247" s="105"/>
      <c r="E247" s="53"/>
      <c r="F247" s="272"/>
      <c r="G247" s="272"/>
      <c r="H247" s="272"/>
      <c r="I247" s="272"/>
      <c r="J247" s="53"/>
      <c r="K247" s="53"/>
      <c r="L247" s="53"/>
      <c r="M247" s="53"/>
      <c r="N247" s="53"/>
      <c r="O247" s="53"/>
      <c r="P247" s="53"/>
      <c r="Q247" s="53"/>
      <c r="R247" s="53"/>
      <c r="S247" s="53"/>
      <c r="T247" s="53"/>
      <c r="U247" s="53"/>
      <c r="V247" s="53"/>
      <c r="W247" s="53"/>
      <c r="X247" s="273"/>
    </row>
  </sheetData>
  <sheetProtection algorithmName="SHA-512" hashValue="3QFjFWXXqS9diU9K/AFCbbbWHS8/s9UcTDu+AYc4hwGmR3vehnjlxKcXcw/T2Cpc9YYSlPA227/NLEjx5HxSPg==" saltValue="octBwjXAXVg69m/WGW6YoQ==" spinCount="100000" sheet="1" objects="1" scenarios="1"/>
  <dataConsolidate/>
  <mergeCells count="42">
    <mergeCell ref="D94:E94"/>
    <mergeCell ref="D8:V8"/>
    <mergeCell ref="D13:E13"/>
    <mergeCell ref="D30:E30"/>
    <mergeCell ref="D69:E69"/>
    <mergeCell ref="D71:E71"/>
    <mergeCell ref="D73:E73"/>
    <mergeCell ref="D77:E77"/>
    <mergeCell ref="D82:E82"/>
    <mergeCell ref="D92:E92"/>
    <mergeCell ref="V139:X139"/>
    <mergeCell ref="D96:E96"/>
    <mergeCell ref="D100:E100"/>
    <mergeCell ref="D104:E104"/>
    <mergeCell ref="D108:E108"/>
    <mergeCell ref="D110:E110"/>
    <mergeCell ref="D112:E112"/>
    <mergeCell ref="D124:E124"/>
    <mergeCell ref="V130:X130"/>
    <mergeCell ref="V133:X133"/>
    <mergeCell ref="V134:X134"/>
    <mergeCell ref="V138:X138"/>
    <mergeCell ref="V161:X161"/>
    <mergeCell ref="V140:X140"/>
    <mergeCell ref="V141:X141"/>
    <mergeCell ref="V142:X142"/>
    <mergeCell ref="V148:X148"/>
    <mergeCell ref="V149:X149"/>
    <mergeCell ref="V150:X150"/>
    <mergeCell ref="V151:X151"/>
    <mergeCell ref="V152:X152"/>
    <mergeCell ref="V153:X153"/>
    <mergeCell ref="V154:X154"/>
    <mergeCell ref="V155:X155"/>
    <mergeCell ref="F239:V239"/>
    <mergeCell ref="F242:V242"/>
    <mergeCell ref="V162:X162"/>
    <mergeCell ref="V165:X165"/>
    <mergeCell ref="V166:X166"/>
    <mergeCell ref="V168:X168"/>
    <mergeCell ref="E232:F232"/>
    <mergeCell ref="F236:V236"/>
  </mergeCells>
  <conditionalFormatting sqref="D8:E8">
    <cfRule type="containsText" dxfId="58" priority="354" operator="containsText" text="&quot;THE FOLLOWING STATEMENT DOES NOT RECONCILE&quot;">
      <formula>NOT(ISERROR(SEARCH("""THE FOLLOWING STATEMENT DOES NOT RECONCILE""",D8)))</formula>
    </cfRule>
    <cfRule type="containsText" dxfId="57" priority="353" operator="containsText" text="THE FOLLOWING STATEMENT RECONCILES">
      <formula>NOT(ISERROR(SEARCH("THE FOLLOWING STATEMENT RECONCILES",D8)))</formula>
    </cfRule>
  </conditionalFormatting>
  <conditionalFormatting sqref="D8:W8">
    <cfRule type="containsText" dxfId="56" priority="352" operator="containsText" text="THE FOLLOWING STATEMENT DOES NOT RECONCILE">
      <formula>NOT(ISERROR(SEARCH("THE FOLLOWING STATEMENT DOES NOT RECONCILE",D8)))</formula>
    </cfRule>
  </conditionalFormatting>
  <conditionalFormatting sqref="F15:U29 W15:W29 K144:R160 K161:K168 M161:R168 K169:R174 E176:E180">
    <cfRule type="cellIs" dxfId="55" priority="222" operator="lessThan">
      <formula>-1</formula>
    </cfRule>
  </conditionalFormatting>
  <conditionalFormatting sqref="F13:W13 F32:W73 AB32:AC73 AF32:AH73 F77:W96 AB77:AC96 AF77:AH96 F100:W112 AB100:AC112 AF100:AH112 AB119:AC124 AF119:AH124 F124:W124">
    <cfRule type="cellIs" dxfId="54" priority="58" operator="lessThan">
      <formula>-1</formula>
    </cfRule>
  </conditionalFormatting>
  <conditionalFormatting sqref="F30:W30 H183:I183 L184:S187 E184:E188 J221:S227">
    <cfRule type="cellIs" dxfId="53" priority="328" operator="lessThan">
      <formula>-1</formula>
    </cfRule>
  </conditionalFormatting>
  <conditionalFormatting sqref="F70:W70 F72:W72">
    <cfRule type="cellIs" dxfId="52" priority="56" operator="lessThan">
      <formula>0</formula>
    </cfRule>
  </conditionalFormatting>
  <conditionalFormatting sqref="G118:G123">
    <cfRule type="cellIs" dxfId="51" priority="3" operator="lessThan">
      <formula>-1</formula>
    </cfRule>
  </conditionalFormatting>
  <conditionalFormatting sqref="H178:I181">
    <cfRule type="cellIs" dxfId="50" priority="221" operator="lessThan">
      <formula>-1</formula>
    </cfRule>
  </conditionalFormatting>
  <conditionalFormatting sqref="H186:I220">
    <cfRule type="cellIs" dxfId="49" priority="204" operator="lessThan">
      <formula>-1</formula>
    </cfRule>
  </conditionalFormatting>
  <conditionalFormatting sqref="H224:I224">
    <cfRule type="cellIs" dxfId="48" priority="213" operator="lessThan">
      <formula>-1</formula>
    </cfRule>
  </conditionalFormatting>
  <conditionalFormatting sqref="H227:I227">
    <cfRule type="cellIs" dxfId="47" priority="211" operator="lessThan">
      <formula>-1</formula>
    </cfRule>
  </conditionalFormatting>
  <conditionalFormatting sqref="H119:W123">
    <cfRule type="cellIs" dxfId="46" priority="2" operator="lessThan">
      <formula>-1</formula>
    </cfRule>
  </conditionalFormatting>
  <conditionalFormatting sqref="I180">
    <cfRule type="cellIs" dxfId="45" priority="89" operator="lessThan">
      <formula>-1</formula>
    </cfRule>
  </conditionalFormatting>
  <conditionalFormatting sqref="J176:J177">
    <cfRule type="cellIs" dxfId="44" priority="262" operator="lessThan">
      <formula>-1</formula>
    </cfRule>
  </conditionalFormatting>
  <conditionalFormatting sqref="J126:S127 J128:J129 J175:S175 K176:S179 M180:P180 S180 K181:S183">
    <cfRule type="cellIs" dxfId="43" priority="323" operator="lessThan">
      <formula>-1</formula>
    </cfRule>
  </conditionalFormatting>
  <conditionalFormatting sqref="K130:S130 K133:S134 K136:S136">
    <cfRule type="cellIs" dxfId="42" priority="268" operator="lessThan">
      <formula>-1</formula>
    </cfRule>
  </conditionalFormatting>
  <conditionalFormatting sqref="K138:S142">
    <cfRule type="cellIs" dxfId="41" priority="4" operator="lessThan">
      <formula>-1</formula>
    </cfRule>
  </conditionalFormatting>
  <conditionalFormatting sqref="K188:S220">
    <cfRule type="cellIs" dxfId="40" priority="205" operator="lessThan">
      <formula>-1</formula>
    </cfRule>
  </conditionalFormatting>
  <conditionalFormatting sqref="S144:S147">
    <cfRule type="cellIs" dxfId="39" priority="267" operator="lessThan">
      <formula>-1</formula>
    </cfRule>
  </conditionalFormatting>
  <conditionalFormatting sqref="S153:S155">
    <cfRule type="top10" dxfId="38" priority="218" percent="1" rank="10"/>
  </conditionalFormatting>
  <conditionalFormatting sqref="S161:S162">
    <cfRule type="cellIs" dxfId="37" priority="216" operator="lessThan">
      <formula>-1</formula>
    </cfRule>
  </conditionalFormatting>
  <conditionalFormatting sqref="S165:S168">
    <cfRule type="cellIs" dxfId="36" priority="143" operator="lessThan">
      <formula>-1</formula>
    </cfRule>
  </conditionalFormatting>
  <conditionalFormatting sqref="S170:S174">
    <cfRule type="cellIs" dxfId="35" priority="269" operator="lessThan">
      <formula>-1</formula>
    </cfRule>
  </conditionalFormatting>
  <conditionalFormatting sqref="T77:U77">
    <cfRule type="cellIs" dxfId="34" priority="340" operator="lessThan">
      <formula>0</formula>
    </cfRule>
  </conditionalFormatting>
  <conditionalFormatting sqref="T100:U100">
    <cfRule type="cellIs" dxfId="33" priority="336" operator="lessThan">
      <formula>0</formula>
    </cfRule>
  </conditionalFormatting>
  <conditionalFormatting sqref="V14:V29">
    <cfRule type="cellIs" dxfId="32" priority="1" operator="lessThan">
      <formula>-1</formula>
    </cfRule>
  </conditionalFormatting>
  <conditionalFormatting sqref="W100">
    <cfRule type="cellIs" dxfId="31" priority="50" operator="lessThan">
      <formula>0</formula>
    </cfRule>
  </conditionalFormatting>
  <conditionalFormatting sqref="AB148:AB155">
    <cfRule type="cellIs" dxfId="30" priority="151" operator="lessThan">
      <formula>-1</formula>
    </cfRule>
  </conditionalFormatting>
  <conditionalFormatting sqref="AB13:AC13">
    <cfRule type="cellIs" dxfId="29" priority="201" operator="lessThan">
      <formula>-1</formula>
    </cfRule>
  </conditionalFormatting>
  <conditionalFormatting sqref="AB15:AC30 AF15:AH30 F119:F123">
    <cfRule type="cellIs" dxfId="28" priority="299" operator="lessThan">
      <formula>-1</formula>
    </cfRule>
  </conditionalFormatting>
  <conditionalFormatting sqref="AB70:AC70 AB72:AC72">
    <cfRule type="cellIs" dxfId="27" priority="203" operator="lessThan">
      <formula>0</formula>
    </cfRule>
  </conditionalFormatting>
  <conditionalFormatting sqref="AB126:AC127">
    <cfRule type="cellIs" dxfId="26" priority="199" operator="lessThan">
      <formula>-1</formula>
    </cfRule>
  </conditionalFormatting>
  <conditionalFormatting sqref="AB144:AC147">
    <cfRule type="cellIs" dxfId="25" priority="187" operator="lessThan">
      <formula>-1</formula>
    </cfRule>
  </conditionalFormatting>
  <conditionalFormatting sqref="AB161:AC162">
    <cfRule type="cellIs" dxfId="24" priority="184" operator="lessThan">
      <formula>-1</formula>
    </cfRule>
  </conditionalFormatting>
  <conditionalFormatting sqref="AB165:AC168">
    <cfRule type="cellIs" dxfId="23" priority="182" operator="lessThan">
      <formula>-1</formula>
    </cfRule>
  </conditionalFormatting>
  <conditionalFormatting sqref="AB170:AC172">
    <cfRule type="cellIs" dxfId="22" priority="188" operator="lessThan">
      <formula>-1</formula>
    </cfRule>
  </conditionalFormatting>
  <conditionalFormatting sqref="AB130:AH130 AB133:AH134 AB136:AH136 AD144:AH144">
    <cfRule type="cellIs" dxfId="21" priority="158" operator="lessThan">
      <formula>-1</formula>
    </cfRule>
  </conditionalFormatting>
  <conditionalFormatting sqref="AB138:AH142">
    <cfRule type="cellIs" dxfId="20" priority="152" operator="lessThan">
      <formula>-1</formula>
    </cfRule>
  </conditionalFormatting>
  <conditionalFormatting sqref="AC153:AC155">
    <cfRule type="top10" dxfId="19" priority="186" percent="1" rank="10"/>
  </conditionalFormatting>
  <conditionalFormatting sqref="AF148:AF155">
    <cfRule type="cellIs" dxfId="18" priority="150" operator="lessThan">
      <formula>-1</formula>
    </cfRule>
  </conditionalFormatting>
  <conditionalFormatting sqref="AF13:AH13">
    <cfRule type="cellIs" dxfId="17" priority="179" operator="lessThan">
      <formula>-1</formula>
    </cfRule>
  </conditionalFormatting>
  <conditionalFormatting sqref="AF70:AH70 AF72:AH72">
    <cfRule type="cellIs" dxfId="16" priority="181" operator="lessThan">
      <formula>0</formula>
    </cfRule>
  </conditionalFormatting>
  <conditionalFormatting sqref="AF126:AH127">
    <cfRule type="cellIs" dxfId="15" priority="177" operator="lessThan">
      <formula>-1</formula>
    </cfRule>
  </conditionalFormatting>
  <conditionalFormatting sqref="AF145:AH147">
    <cfRule type="cellIs" dxfId="14" priority="170" operator="lessThan">
      <formula>-1</formula>
    </cfRule>
  </conditionalFormatting>
  <conditionalFormatting sqref="AF161:AH162">
    <cfRule type="cellIs" dxfId="13" priority="149" operator="lessThan">
      <formula>-1</formula>
    </cfRule>
  </conditionalFormatting>
  <conditionalFormatting sqref="AF165:AH168">
    <cfRule type="cellIs" dxfId="12" priority="146" operator="lessThan">
      <formula>-1</formula>
    </cfRule>
  </conditionalFormatting>
  <conditionalFormatting sqref="AF170:AH172">
    <cfRule type="cellIs" dxfId="11" priority="171" operator="lessThan">
      <formula>-1</formula>
    </cfRule>
  </conditionalFormatting>
  <conditionalFormatting sqref="AG153:AH155">
    <cfRule type="top10" dxfId="10" priority="169" percent="1" rank="10"/>
  </conditionalFormatting>
  <pageMargins left="0.70866141732283472" right="0.70866141732283472" top="0.74803149606299213" bottom="0.74803149606299213" header="0.31496062992125984" footer="0.31496062992125984"/>
  <pageSetup paperSize="9" scale="50" fitToHeight="0" orientation="landscape" r:id="rId1"/>
  <headerFooter>
    <oddFooter>&amp;C_x000D_&amp;1#&amp;"Calibri"&amp;10&amp;K000000 OFFICIAL</oddFooter>
  </headerFooter>
  <rowBreaks count="2" manualBreakCount="2">
    <brk id="69" min="2" max="19" man="1"/>
    <brk id="124"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Lookup!$D$2:$D$5</xm:f>
          </x14:formula1>
          <xm:sqref>E5</xm:sqref>
        </x14:dataValidation>
        <x14:dataValidation type="list" allowBlank="1" showInputMessage="1" showErrorMessage="1" xr:uid="{00000000-0002-0000-0100-000001000000}">
          <x14:formula1>
            <xm:f>Lookup!$A$2:$A$210</xm:f>
          </x14:formula1>
          <xm:sqref>E3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17A06-A6B8-45E6-A4E3-3D310A3C918D}">
  <sheetPr codeName="Sheet3"/>
  <dimension ref="A1"/>
  <sheetViews>
    <sheetView workbookViewId="0">
      <selection activeCell="I31" sqref="I31"/>
    </sheetView>
  </sheetViews>
  <sheetFormatPr defaultRowHeight="14.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DR75"/>
  <sheetViews>
    <sheetView workbookViewId="0">
      <selection activeCell="H19" sqref="H19"/>
    </sheetView>
  </sheetViews>
  <sheetFormatPr defaultRowHeight="15.5"/>
  <cols>
    <col min="1" max="1" width="9.1796875" style="199"/>
    <col min="2" max="2" width="40.453125" style="128" customWidth="1"/>
    <col min="3" max="3" width="25.54296875" bestFit="1" customWidth="1"/>
    <col min="4" max="4" width="10.7265625" bestFit="1" customWidth="1"/>
    <col min="7" max="7" width="13.26953125" bestFit="1" customWidth="1"/>
    <col min="8" max="9" width="11.54296875" bestFit="1" customWidth="1"/>
    <col min="10" max="10" width="9.453125" bestFit="1" customWidth="1"/>
    <col min="11" max="11" width="10.54296875" bestFit="1" customWidth="1"/>
    <col min="12" max="12" width="9.7265625" bestFit="1" customWidth="1"/>
    <col min="13" max="13" width="10.54296875" bestFit="1" customWidth="1"/>
    <col min="14" max="14" width="9.54296875" bestFit="1" customWidth="1"/>
    <col min="15" max="15" width="10.54296875" bestFit="1" customWidth="1"/>
    <col min="16" max="16" width="10.7265625" bestFit="1" customWidth="1"/>
    <col min="17" max="17" width="10.453125" bestFit="1" customWidth="1"/>
    <col min="18" max="18" width="9.26953125" bestFit="1" customWidth="1"/>
    <col min="19" max="19" width="9.453125" bestFit="1" customWidth="1"/>
    <col min="20" max="20" width="10.54296875" bestFit="1" customWidth="1"/>
    <col min="21" max="21" width="10.1796875" bestFit="1" customWidth="1"/>
    <col min="22" max="22" width="12.7265625" bestFit="1" customWidth="1"/>
    <col min="23" max="23" width="10.54296875" bestFit="1" customWidth="1"/>
    <col min="24" max="24" width="10" bestFit="1" customWidth="1"/>
    <col min="25" max="25" width="12" bestFit="1" customWidth="1"/>
    <col min="26" max="27" width="12.54296875" bestFit="1" customWidth="1"/>
    <col min="28" max="29" width="12" bestFit="1" customWidth="1"/>
    <col min="30" max="30" width="11" bestFit="1" customWidth="1"/>
    <col min="31" max="31" width="12" bestFit="1" customWidth="1"/>
    <col min="33" max="33" width="12" bestFit="1" customWidth="1"/>
    <col min="34" max="34" width="10.54296875" bestFit="1" customWidth="1"/>
    <col min="35" max="35" width="9" bestFit="1" customWidth="1"/>
    <col min="36" max="36" width="9.26953125" bestFit="1" customWidth="1"/>
    <col min="37" max="37" width="10.453125" bestFit="1" customWidth="1"/>
    <col min="38" max="38" width="10.54296875" bestFit="1" customWidth="1"/>
    <col min="39" max="39" width="9.26953125" bestFit="1" customWidth="1"/>
    <col min="40" max="40" width="11.26953125" bestFit="1" customWidth="1"/>
    <col min="41" max="41" width="10.1796875" bestFit="1" customWidth="1"/>
    <col min="42" max="49" width="10.54296875" bestFit="1" customWidth="1"/>
    <col min="50" max="50" width="9" bestFit="1" customWidth="1"/>
    <col min="51" max="54" width="10.54296875" bestFit="1" customWidth="1"/>
    <col min="55" max="55" width="10.1796875" bestFit="1" customWidth="1"/>
    <col min="56" max="57" width="9" bestFit="1" customWidth="1"/>
    <col min="58" max="58" width="12.54296875" bestFit="1" customWidth="1"/>
    <col min="59" max="59" width="12" bestFit="1" customWidth="1"/>
    <col min="60" max="60" width="12.7265625" bestFit="1" customWidth="1"/>
    <col min="61" max="61" width="12" bestFit="1" customWidth="1"/>
    <col min="62" max="62" width="10.54296875" bestFit="1" customWidth="1"/>
    <col min="63" max="64" width="9.7265625" bestFit="1" customWidth="1"/>
    <col min="65" max="65" width="10.54296875" bestFit="1" customWidth="1"/>
    <col min="66" max="66" width="10.26953125" bestFit="1" customWidth="1"/>
    <col min="67" max="67" width="10.54296875" bestFit="1" customWidth="1"/>
    <col min="68" max="69" width="10.26953125" bestFit="1" customWidth="1"/>
    <col min="70" max="72" width="10.54296875" bestFit="1" customWidth="1"/>
    <col min="73" max="73" width="9" bestFit="1" customWidth="1"/>
    <col min="74" max="74" width="8.54296875" bestFit="1" customWidth="1"/>
    <col min="75" max="75" width="9" bestFit="1" customWidth="1"/>
    <col min="77" max="77" width="10.26953125" bestFit="1" customWidth="1"/>
    <col min="78" max="78" width="9" bestFit="1" customWidth="1"/>
    <col min="80" max="80" width="9.26953125" bestFit="1" customWidth="1"/>
    <col min="81" max="81" width="8.54296875" bestFit="1" customWidth="1"/>
    <col min="82" max="82" width="10.26953125" bestFit="1" customWidth="1"/>
    <col min="83" max="83" width="12.7265625" bestFit="1" customWidth="1"/>
    <col min="84" max="84" width="9.26953125" style="126" bestFit="1" customWidth="1"/>
    <col min="85" max="85" width="12.81640625" style="126" bestFit="1" customWidth="1"/>
    <col min="86" max="86" width="9.26953125" style="126" bestFit="1" customWidth="1"/>
    <col min="87" max="87" width="11.54296875" style="126" bestFit="1" customWidth="1"/>
  </cols>
  <sheetData>
    <row r="1" spans="1:122" s="165" customFormat="1" ht="18.5">
      <c r="A1" s="186" t="s">
        <v>770</v>
      </c>
      <c r="CF1" s="200"/>
      <c r="CG1" s="200"/>
      <c r="CH1" s="200"/>
      <c r="CI1" s="200"/>
    </row>
    <row r="2" spans="1:122" s="165" customFormat="1" ht="18.5">
      <c r="A2" s="186" t="s">
        <v>771</v>
      </c>
      <c r="C2" s="186" t="s">
        <v>745</v>
      </c>
      <c r="CF2" s="200"/>
      <c r="CG2" s="200"/>
      <c r="CH2" s="200"/>
      <c r="CI2" s="200"/>
    </row>
    <row r="3" spans="1:122" s="165" customFormat="1" ht="13">
      <c r="A3" s="187">
        <v>1</v>
      </c>
      <c r="B3" s="187">
        <v>2</v>
      </c>
      <c r="C3" s="187">
        <v>3</v>
      </c>
      <c r="D3" s="187">
        <v>4</v>
      </c>
      <c r="E3" s="187">
        <v>5</v>
      </c>
      <c r="F3" s="187">
        <v>6</v>
      </c>
      <c r="G3" s="187">
        <v>7</v>
      </c>
      <c r="H3" s="187">
        <v>8</v>
      </c>
      <c r="I3" s="187">
        <v>9</v>
      </c>
      <c r="J3" s="187">
        <v>10</v>
      </c>
      <c r="K3" s="187">
        <v>11</v>
      </c>
      <c r="L3" s="187">
        <v>12</v>
      </c>
      <c r="M3" s="187">
        <v>13</v>
      </c>
      <c r="N3" s="187">
        <v>14</v>
      </c>
      <c r="O3" s="187">
        <v>15</v>
      </c>
      <c r="P3" s="187">
        <v>16</v>
      </c>
      <c r="Q3" s="187">
        <v>17</v>
      </c>
      <c r="R3" s="187">
        <v>18</v>
      </c>
      <c r="S3" s="187">
        <v>19</v>
      </c>
      <c r="T3" s="187">
        <v>20</v>
      </c>
      <c r="U3" s="187">
        <v>21</v>
      </c>
      <c r="V3" s="187">
        <v>22</v>
      </c>
      <c r="W3" s="187">
        <v>23</v>
      </c>
      <c r="X3" s="187">
        <v>24</v>
      </c>
      <c r="Y3" s="187">
        <v>25</v>
      </c>
      <c r="Z3" s="187">
        <v>26</v>
      </c>
      <c r="AA3" s="187">
        <v>27</v>
      </c>
      <c r="AB3" s="187">
        <v>28</v>
      </c>
      <c r="AC3" s="187">
        <v>29</v>
      </c>
      <c r="AD3" s="187">
        <v>30</v>
      </c>
      <c r="AE3" s="187">
        <v>31</v>
      </c>
      <c r="AF3" s="187">
        <v>32</v>
      </c>
      <c r="AG3" s="187">
        <v>33</v>
      </c>
      <c r="AH3" s="187">
        <v>34</v>
      </c>
      <c r="AI3" s="187">
        <v>35</v>
      </c>
      <c r="AJ3" s="187">
        <v>36</v>
      </c>
      <c r="AK3" s="187">
        <v>37</v>
      </c>
      <c r="AL3" s="187">
        <v>38</v>
      </c>
      <c r="AM3" s="187">
        <v>39</v>
      </c>
      <c r="AN3" s="187">
        <v>40</v>
      </c>
      <c r="AO3" s="187">
        <v>41</v>
      </c>
      <c r="AP3" s="187">
        <v>42</v>
      </c>
      <c r="AQ3" s="187">
        <v>43</v>
      </c>
      <c r="AR3" s="187">
        <v>44</v>
      </c>
      <c r="AS3" s="187">
        <v>45</v>
      </c>
      <c r="AT3" s="187">
        <v>46</v>
      </c>
      <c r="AU3" s="187">
        <v>47</v>
      </c>
      <c r="AV3" s="187">
        <v>48</v>
      </c>
      <c r="AW3" s="187">
        <v>49</v>
      </c>
      <c r="AX3" s="187">
        <v>50</v>
      </c>
      <c r="AY3" s="187">
        <v>51</v>
      </c>
      <c r="AZ3" s="187">
        <v>52</v>
      </c>
      <c r="BA3" s="187">
        <v>53</v>
      </c>
      <c r="BB3" s="187">
        <v>54</v>
      </c>
      <c r="BC3" s="187">
        <v>55</v>
      </c>
      <c r="BD3" s="187">
        <v>56</v>
      </c>
      <c r="BE3" s="187">
        <v>57</v>
      </c>
      <c r="BF3" s="187">
        <v>58</v>
      </c>
      <c r="BG3" s="187">
        <v>59</v>
      </c>
      <c r="BH3" s="187">
        <v>60</v>
      </c>
      <c r="BI3" s="187">
        <v>61</v>
      </c>
      <c r="BJ3" s="187">
        <v>62</v>
      </c>
      <c r="BK3" s="187">
        <v>63</v>
      </c>
      <c r="BL3" s="187">
        <v>64</v>
      </c>
      <c r="BM3" s="187">
        <v>65</v>
      </c>
      <c r="BN3" s="187">
        <v>66</v>
      </c>
      <c r="BO3" s="187">
        <v>67</v>
      </c>
      <c r="BP3" s="187">
        <v>68</v>
      </c>
      <c r="BQ3" s="187">
        <v>69</v>
      </c>
      <c r="BR3" s="187">
        <v>70</v>
      </c>
      <c r="BS3" s="187">
        <v>71</v>
      </c>
      <c r="BT3" s="187">
        <v>72</v>
      </c>
      <c r="BU3" s="187">
        <v>73</v>
      </c>
      <c r="BV3" s="187">
        <v>74</v>
      </c>
      <c r="BW3" s="187">
        <v>75</v>
      </c>
      <c r="BX3" s="187">
        <v>76</v>
      </c>
      <c r="BY3" s="187">
        <v>77</v>
      </c>
      <c r="BZ3" s="187">
        <v>78</v>
      </c>
      <c r="CA3" s="187">
        <v>79</v>
      </c>
      <c r="CB3" s="187">
        <v>80</v>
      </c>
      <c r="CC3" s="187">
        <v>81</v>
      </c>
      <c r="CD3" s="187">
        <v>82</v>
      </c>
      <c r="CF3" s="200"/>
      <c r="CG3" s="200"/>
      <c r="CH3" s="200"/>
      <c r="CI3" s="200"/>
    </row>
    <row r="4" spans="1:122" ht="139.5">
      <c r="A4" s="136" t="s">
        <v>228</v>
      </c>
      <c r="B4" s="188" t="s">
        <v>214</v>
      </c>
      <c r="C4" s="136" t="s">
        <v>229</v>
      </c>
      <c r="D4" s="136" t="s">
        <v>310</v>
      </c>
      <c r="E4" s="136" t="s">
        <v>231</v>
      </c>
      <c r="F4" s="136" t="s">
        <v>232</v>
      </c>
      <c r="G4" s="137" t="s">
        <v>233</v>
      </c>
      <c r="H4" s="137" t="s">
        <v>22</v>
      </c>
      <c r="I4" s="137" t="s">
        <v>234</v>
      </c>
      <c r="J4" s="137" t="s">
        <v>271</v>
      </c>
      <c r="K4" s="137" t="s">
        <v>26</v>
      </c>
      <c r="L4" s="137" t="s">
        <v>28</v>
      </c>
      <c r="M4" s="137" t="s">
        <v>235</v>
      </c>
      <c r="N4" s="137" t="s">
        <v>273</v>
      </c>
      <c r="O4" s="137" t="s">
        <v>272</v>
      </c>
      <c r="P4" s="137" t="s">
        <v>32</v>
      </c>
      <c r="Q4" s="137" t="s">
        <v>34</v>
      </c>
      <c r="R4" s="137" t="s">
        <v>36</v>
      </c>
      <c r="S4" s="137" t="s">
        <v>236</v>
      </c>
      <c r="T4" s="137" t="s">
        <v>40</v>
      </c>
      <c r="U4" s="137" t="s">
        <v>237</v>
      </c>
      <c r="V4" s="137" t="s">
        <v>278</v>
      </c>
      <c r="W4" s="137" t="s">
        <v>279</v>
      </c>
      <c r="X4" s="137" t="s">
        <v>280</v>
      </c>
      <c r="Y4" s="137" t="s">
        <v>281</v>
      </c>
      <c r="Z4" s="137" t="s">
        <v>238</v>
      </c>
      <c r="AA4" s="137" t="s">
        <v>46</v>
      </c>
      <c r="AB4" s="137" t="s">
        <v>239</v>
      </c>
      <c r="AC4" s="137" t="s">
        <v>50</v>
      </c>
      <c r="AD4" s="137" t="s">
        <v>52</v>
      </c>
      <c r="AE4" s="137" t="s">
        <v>54</v>
      </c>
      <c r="AF4" s="137" t="s">
        <v>56</v>
      </c>
      <c r="AG4" s="137" t="s">
        <v>58</v>
      </c>
      <c r="AH4" s="137" t="s">
        <v>60</v>
      </c>
      <c r="AI4" s="137" t="s">
        <v>240</v>
      </c>
      <c r="AJ4" s="137" t="s">
        <v>64</v>
      </c>
      <c r="AK4" s="137" t="s">
        <v>66</v>
      </c>
      <c r="AL4" s="137" t="s">
        <v>68</v>
      </c>
      <c r="AM4" s="137" t="s">
        <v>70</v>
      </c>
      <c r="AN4" s="137" t="s">
        <v>72</v>
      </c>
      <c r="AO4" s="137" t="s">
        <v>74</v>
      </c>
      <c r="AP4" s="137" t="s">
        <v>76</v>
      </c>
      <c r="AQ4" s="137" t="s">
        <v>78</v>
      </c>
      <c r="AR4" s="137" t="s">
        <v>80</v>
      </c>
      <c r="AS4" s="137" t="s">
        <v>241</v>
      </c>
      <c r="AT4" s="137" t="s">
        <v>84</v>
      </c>
      <c r="AU4" s="137" t="s">
        <v>242</v>
      </c>
      <c r="AV4" s="137" t="s">
        <v>88</v>
      </c>
      <c r="AW4" s="137" t="s">
        <v>90</v>
      </c>
      <c r="AX4" s="137" t="s">
        <v>92</v>
      </c>
      <c r="AY4" s="137" t="s">
        <v>94</v>
      </c>
      <c r="AZ4" s="137" t="s">
        <v>96</v>
      </c>
      <c r="BA4" s="137" t="s">
        <v>98</v>
      </c>
      <c r="BB4" s="137" t="s">
        <v>286</v>
      </c>
      <c r="BC4" s="137" t="s">
        <v>287</v>
      </c>
      <c r="BD4" s="137" t="s">
        <v>100</v>
      </c>
      <c r="BE4" s="137" t="s">
        <v>102</v>
      </c>
      <c r="BF4" s="137" t="s">
        <v>243</v>
      </c>
      <c r="BG4" s="137" t="s">
        <v>244</v>
      </c>
      <c r="BH4" s="137" t="s">
        <v>245</v>
      </c>
      <c r="BI4" s="137" t="s">
        <v>246</v>
      </c>
      <c r="BJ4" s="138" t="s">
        <v>247</v>
      </c>
      <c r="BK4" s="138" t="s">
        <v>112</v>
      </c>
      <c r="BL4" s="138" t="s">
        <v>114</v>
      </c>
      <c r="BM4" s="138" t="s">
        <v>248</v>
      </c>
      <c r="BN4" s="138" t="s">
        <v>118</v>
      </c>
      <c r="BO4" s="138" t="s">
        <v>249</v>
      </c>
      <c r="BP4" s="138" t="s">
        <v>122</v>
      </c>
      <c r="BQ4" s="138" t="s">
        <v>124</v>
      </c>
      <c r="BR4" s="138" t="s">
        <v>250</v>
      </c>
      <c r="BS4" s="138" t="s">
        <v>251</v>
      </c>
      <c r="BT4" s="138" t="s">
        <v>252</v>
      </c>
      <c r="BU4" s="138" t="s">
        <v>253</v>
      </c>
      <c r="BV4" s="139" t="s">
        <v>254</v>
      </c>
      <c r="BW4" s="139" t="s">
        <v>134</v>
      </c>
      <c r="BX4" s="139" t="s">
        <v>255</v>
      </c>
      <c r="BY4" s="139" t="s">
        <v>138</v>
      </c>
      <c r="BZ4" s="139" t="s">
        <v>140</v>
      </c>
      <c r="CA4" s="139" t="s">
        <v>256</v>
      </c>
      <c r="CB4" s="139" t="s">
        <v>257</v>
      </c>
      <c r="CC4" s="139" t="s">
        <v>258</v>
      </c>
      <c r="CD4" s="139" t="s">
        <v>259</v>
      </c>
      <c r="CE4" s="130" t="s">
        <v>147</v>
      </c>
      <c r="CF4" s="201" t="s">
        <v>149</v>
      </c>
      <c r="CG4" s="201" t="s">
        <v>260</v>
      </c>
      <c r="CH4" s="201" t="s">
        <v>153</v>
      </c>
      <c r="CI4" s="201" t="s">
        <v>155</v>
      </c>
      <c r="CJ4" s="130" t="s">
        <v>261</v>
      </c>
    </row>
    <row r="5" spans="1:122">
      <c r="A5" s="189">
        <v>1</v>
      </c>
      <c r="B5" s="190">
        <v>2</v>
      </c>
      <c r="C5" s="189">
        <v>3</v>
      </c>
      <c r="D5" s="189">
        <v>4</v>
      </c>
      <c r="E5" s="189">
        <v>5</v>
      </c>
      <c r="F5" s="189">
        <v>6</v>
      </c>
      <c r="G5" s="189">
        <v>7</v>
      </c>
      <c r="H5" s="189">
        <v>8</v>
      </c>
      <c r="I5" s="189">
        <v>9</v>
      </c>
      <c r="J5" s="189">
        <v>10</v>
      </c>
      <c r="K5" s="189">
        <v>11</v>
      </c>
      <c r="L5" s="189">
        <v>12</v>
      </c>
      <c r="M5" s="189">
        <v>13</v>
      </c>
      <c r="N5" s="189">
        <v>14</v>
      </c>
      <c r="O5" s="189">
        <v>15</v>
      </c>
      <c r="P5" s="189">
        <v>16</v>
      </c>
      <c r="Q5" s="189">
        <v>17</v>
      </c>
      <c r="R5" s="189">
        <v>18</v>
      </c>
      <c r="S5" s="189">
        <v>19</v>
      </c>
      <c r="T5" s="189">
        <v>20</v>
      </c>
      <c r="U5" s="189">
        <v>21</v>
      </c>
      <c r="V5" s="189">
        <v>22</v>
      </c>
      <c r="W5" s="189">
        <v>23</v>
      </c>
      <c r="X5" s="189">
        <v>24</v>
      </c>
      <c r="Y5" s="189">
        <v>25</v>
      </c>
      <c r="Z5" s="189">
        <v>26</v>
      </c>
      <c r="AA5" s="189">
        <v>27</v>
      </c>
      <c r="AB5" s="189">
        <v>28</v>
      </c>
      <c r="AC5" s="189">
        <v>29</v>
      </c>
      <c r="AD5" s="189">
        <v>30</v>
      </c>
      <c r="AE5" s="189">
        <v>31</v>
      </c>
      <c r="AF5" s="189">
        <v>32</v>
      </c>
      <c r="AG5" s="189">
        <v>33</v>
      </c>
      <c r="AH5" s="189">
        <v>34</v>
      </c>
      <c r="AI5" s="189">
        <v>35</v>
      </c>
      <c r="AJ5" s="189">
        <v>36</v>
      </c>
      <c r="AK5" s="189">
        <v>37</v>
      </c>
      <c r="AL5" s="189">
        <v>38</v>
      </c>
      <c r="AM5" s="189">
        <v>39</v>
      </c>
      <c r="AN5" s="189">
        <v>40</v>
      </c>
      <c r="AO5" s="189">
        <v>41</v>
      </c>
      <c r="AP5" s="189">
        <v>42</v>
      </c>
      <c r="AQ5" s="189">
        <v>43</v>
      </c>
      <c r="AR5" s="189">
        <v>44</v>
      </c>
      <c r="AS5" s="189">
        <v>45</v>
      </c>
      <c r="AT5" s="189">
        <v>46</v>
      </c>
      <c r="AU5" s="189">
        <v>47</v>
      </c>
      <c r="AV5" s="189">
        <v>48</v>
      </c>
      <c r="AW5" s="189">
        <v>49</v>
      </c>
      <c r="AX5" s="189">
        <v>50</v>
      </c>
      <c r="AY5" s="189">
        <v>51</v>
      </c>
      <c r="AZ5" s="189">
        <v>52</v>
      </c>
      <c r="BA5" s="189">
        <v>53</v>
      </c>
      <c r="BB5" s="189">
        <v>54</v>
      </c>
      <c r="BC5" s="189">
        <v>55</v>
      </c>
      <c r="BD5" s="189">
        <v>56</v>
      </c>
      <c r="BE5" s="189">
        <v>57</v>
      </c>
      <c r="BF5" s="189">
        <v>58</v>
      </c>
      <c r="BG5" s="189">
        <v>59</v>
      </c>
      <c r="BH5" s="189">
        <v>60</v>
      </c>
      <c r="BI5" s="189">
        <v>61</v>
      </c>
      <c r="BJ5" s="189">
        <v>62</v>
      </c>
      <c r="BK5" s="189">
        <v>63</v>
      </c>
      <c r="BL5" s="189">
        <v>64</v>
      </c>
      <c r="BM5" s="189">
        <v>65</v>
      </c>
      <c r="BN5" s="189">
        <v>66</v>
      </c>
      <c r="BO5" s="189">
        <v>67</v>
      </c>
      <c r="BP5" s="189">
        <v>68</v>
      </c>
      <c r="BQ5" s="189">
        <v>69</v>
      </c>
      <c r="BR5" s="189">
        <v>70</v>
      </c>
      <c r="BS5" s="189">
        <v>71</v>
      </c>
      <c r="BT5" s="189">
        <v>72</v>
      </c>
      <c r="BU5" s="189">
        <v>73</v>
      </c>
      <c r="BV5" s="189">
        <v>74</v>
      </c>
      <c r="BW5" s="189">
        <v>75</v>
      </c>
      <c r="BX5" s="189">
        <v>76</v>
      </c>
      <c r="BY5" s="189">
        <v>77</v>
      </c>
      <c r="BZ5" s="189">
        <v>78</v>
      </c>
      <c r="CA5" s="189">
        <v>79</v>
      </c>
      <c r="CB5" s="189">
        <v>80</v>
      </c>
      <c r="CC5" s="189">
        <v>81</v>
      </c>
      <c r="CD5" s="189">
        <v>82</v>
      </c>
      <c r="CE5" s="189">
        <v>83</v>
      </c>
      <c r="CF5" s="202">
        <v>84</v>
      </c>
      <c r="CG5" s="202">
        <v>85</v>
      </c>
      <c r="CH5" s="202">
        <v>86</v>
      </c>
      <c r="CI5" s="202">
        <v>87</v>
      </c>
      <c r="CJ5" s="189">
        <v>88</v>
      </c>
    </row>
    <row r="6" spans="1:122">
      <c r="A6" s="191" t="s">
        <v>228</v>
      </c>
      <c r="B6" s="191" t="s">
        <v>214</v>
      </c>
      <c r="C6" s="159" t="s">
        <v>229</v>
      </c>
      <c r="D6" s="159"/>
      <c r="E6" s="159" t="s">
        <v>231</v>
      </c>
      <c r="F6" s="159" t="s">
        <v>232</v>
      </c>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274</v>
      </c>
      <c r="W6" s="152" t="s">
        <v>275</v>
      </c>
      <c r="X6" s="152" t="s">
        <v>276</v>
      </c>
      <c r="Y6" s="152" t="s">
        <v>277</v>
      </c>
      <c r="Z6" s="153"/>
      <c r="AA6" s="152" t="s">
        <v>45</v>
      </c>
      <c r="AB6" s="152" t="s">
        <v>47</v>
      </c>
      <c r="AC6" s="152" t="s">
        <v>49</v>
      </c>
      <c r="AD6" s="152" t="s">
        <v>51</v>
      </c>
      <c r="AE6" s="152" t="s">
        <v>53</v>
      </c>
      <c r="AF6" s="152" t="s">
        <v>55</v>
      </c>
      <c r="AG6" s="152" t="s">
        <v>57</v>
      </c>
      <c r="AH6" s="152" t="s">
        <v>59</v>
      </c>
      <c r="AI6" s="152" t="s">
        <v>61</v>
      </c>
      <c r="AJ6" s="152" t="s">
        <v>63</v>
      </c>
      <c r="AK6" s="152" t="s">
        <v>65</v>
      </c>
      <c r="AL6" s="152" t="s">
        <v>67</v>
      </c>
      <c r="AM6" s="152" t="s">
        <v>69</v>
      </c>
      <c r="AN6" s="152" t="s">
        <v>71</v>
      </c>
      <c r="AO6" s="152" t="s">
        <v>73</v>
      </c>
      <c r="AP6" s="152" t="s">
        <v>75</v>
      </c>
      <c r="AQ6" s="152" t="s">
        <v>77</v>
      </c>
      <c r="AR6" s="152" t="s">
        <v>79</v>
      </c>
      <c r="AS6" s="152" t="s">
        <v>81</v>
      </c>
      <c r="AT6" s="152" t="s">
        <v>83</v>
      </c>
      <c r="AU6" s="152" t="s">
        <v>85</v>
      </c>
      <c r="AV6" s="152" t="s">
        <v>87</v>
      </c>
      <c r="AW6" s="152" t="s">
        <v>89</v>
      </c>
      <c r="AX6" s="152" t="s">
        <v>91</v>
      </c>
      <c r="AY6" s="152" t="s">
        <v>93</v>
      </c>
      <c r="AZ6" s="152" t="s">
        <v>95</v>
      </c>
      <c r="BA6" s="152" t="s">
        <v>97</v>
      </c>
      <c r="BB6" s="152" t="s">
        <v>282</v>
      </c>
      <c r="BC6" s="152" t="s">
        <v>283</v>
      </c>
      <c r="BD6" s="152" t="s">
        <v>99</v>
      </c>
      <c r="BE6" s="152" t="s">
        <v>101</v>
      </c>
      <c r="BF6" s="152"/>
      <c r="BG6" s="152"/>
      <c r="BH6" s="152"/>
      <c r="BI6" s="152"/>
      <c r="BJ6" s="154" t="s">
        <v>109</v>
      </c>
      <c r="BK6" s="154" t="s">
        <v>111</v>
      </c>
      <c r="BL6" s="154" t="s">
        <v>113</v>
      </c>
      <c r="BM6" s="154"/>
      <c r="BN6" s="154" t="s">
        <v>117</v>
      </c>
      <c r="BO6" s="154" t="s">
        <v>119</v>
      </c>
      <c r="BP6" s="154" t="s">
        <v>121</v>
      </c>
      <c r="BQ6" s="154" t="s">
        <v>123</v>
      </c>
      <c r="BR6" s="154"/>
      <c r="BS6" s="154"/>
      <c r="BT6" s="154"/>
      <c r="BU6" s="154"/>
      <c r="BV6" s="155" t="s">
        <v>131</v>
      </c>
      <c r="BW6" s="155" t="s">
        <v>133</v>
      </c>
      <c r="BX6" s="155"/>
      <c r="BY6" s="155" t="s">
        <v>137</v>
      </c>
      <c r="BZ6" s="155" t="s">
        <v>139</v>
      </c>
      <c r="CA6" s="155"/>
      <c r="CB6" s="155"/>
      <c r="CC6" s="155"/>
      <c r="CD6" s="155"/>
      <c r="CE6" s="156" t="s">
        <v>146</v>
      </c>
      <c r="CF6" s="203" t="s">
        <v>148</v>
      </c>
      <c r="CG6" s="203" t="s">
        <v>150</v>
      </c>
      <c r="CH6" s="203" t="s">
        <v>152</v>
      </c>
      <c r="CI6" s="203" t="s">
        <v>154</v>
      </c>
      <c r="CJ6" s="156"/>
    </row>
    <row r="7" spans="1:122">
      <c r="A7" s="191" t="s">
        <v>4</v>
      </c>
      <c r="B7" s="191"/>
      <c r="C7" s="159"/>
      <c r="D7" s="159"/>
      <c r="E7" s="159"/>
      <c r="F7" s="159"/>
      <c r="G7" s="152"/>
      <c r="H7" s="152"/>
      <c r="I7" s="152"/>
      <c r="J7" s="152"/>
      <c r="K7" s="152"/>
      <c r="L7" s="152"/>
      <c r="M7" s="152"/>
      <c r="N7" s="152"/>
      <c r="O7" s="152"/>
      <c r="P7" s="152"/>
      <c r="Q7" s="152"/>
      <c r="R7" s="152"/>
      <c r="S7" s="152"/>
      <c r="T7" s="152"/>
      <c r="U7" s="152"/>
      <c r="V7" s="152"/>
      <c r="W7" s="152"/>
      <c r="X7" s="152"/>
      <c r="Y7" s="152"/>
      <c r="Z7" s="153"/>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c r="BC7" s="152"/>
      <c r="BD7" s="152"/>
      <c r="BE7" s="152"/>
      <c r="BF7" s="152"/>
      <c r="BG7" s="152"/>
      <c r="BH7" s="152"/>
      <c r="BI7" s="152"/>
      <c r="BJ7" s="154"/>
      <c r="BK7" s="154"/>
      <c r="BL7" s="154"/>
      <c r="BM7" s="154"/>
      <c r="BN7" s="154"/>
      <c r="BO7" s="154"/>
      <c r="BP7" s="154"/>
      <c r="BQ7" s="154"/>
      <c r="BR7" s="154"/>
      <c r="BS7" s="154"/>
      <c r="BT7" s="154"/>
      <c r="BU7" s="154"/>
      <c r="BV7" s="155"/>
      <c r="BW7" s="155"/>
      <c r="BX7" s="155"/>
      <c r="BY7" s="155"/>
      <c r="BZ7" s="155"/>
      <c r="CA7" s="155"/>
      <c r="CB7" s="155"/>
      <c r="CC7" s="155"/>
      <c r="CD7" s="155"/>
      <c r="CE7" s="156"/>
      <c r="CF7" s="203"/>
      <c r="CG7" s="203"/>
      <c r="CH7" s="203"/>
      <c r="CI7" s="203"/>
      <c r="CJ7" s="156"/>
    </row>
    <row r="8" spans="1:122">
      <c r="A8" s="192"/>
      <c r="B8" s="193"/>
      <c r="C8" s="168"/>
      <c r="D8" s="167"/>
      <c r="E8" s="168"/>
      <c r="F8" s="168"/>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c r="BL8" s="169"/>
      <c r="BM8" s="169"/>
      <c r="BN8" s="169"/>
      <c r="BO8" s="169"/>
      <c r="BP8" s="169"/>
      <c r="BQ8" s="169"/>
      <c r="BR8" s="169"/>
      <c r="BS8" s="169"/>
      <c r="BT8" s="169"/>
      <c r="BU8" s="169"/>
      <c r="BV8" s="169"/>
      <c r="BW8" s="169"/>
      <c r="BX8" s="169"/>
      <c r="BY8" s="169"/>
      <c r="BZ8" s="169"/>
      <c r="CA8" s="169"/>
      <c r="CB8" s="169"/>
      <c r="CC8" s="169"/>
      <c r="CD8" s="169"/>
      <c r="CE8" s="168"/>
      <c r="CF8" s="166"/>
      <c r="CG8" s="166"/>
      <c r="CH8" s="166"/>
      <c r="CI8" s="166"/>
      <c r="CJ8" s="168"/>
      <c r="CK8">
        <v>0</v>
      </c>
      <c r="CL8">
        <v>0</v>
      </c>
      <c r="CM8">
        <v>0</v>
      </c>
      <c r="CN8">
        <v>0</v>
      </c>
      <c r="CO8">
        <v>0</v>
      </c>
      <c r="CP8">
        <v>0</v>
      </c>
      <c r="CQ8">
        <v>0</v>
      </c>
      <c r="CR8">
        <v>0</v>
      </c>
      <c r="CS8">
        <v>0</v>
      </c>
      <c r="CT8">
        <v>0</v>
      </c>
      <c r="CU8">
        <v>0</v>
      </c>
      <c r="CV8">
        <v>0</v>
      </c>
      <c r="CW8">
        <v>0</v>
      </c>
      <c r="CX8">
        <v>0</v>
      </c>
      <c r="CY8">
        <v>0</v>
      </c>
      <c r="CZ8">
        <v>0</v>
      </c>
      <c r="DA8">
        <v>0</v>
      </c>
      <c r="DB8">
        <v>0</v>
      </c>
      <c r="DC8">
        <v>0</v>
      </c>
      <c r="DD8">
        <v>0</v>
      </c>
      <c r="DE8">
        <v>0</v>
      </c>
      <c r="DF8">
        <v>0</v>
      </c>
      <c r="DG8">
        <v>0</v>
      </c>
      <c r="DH8">
        <v>0</v>
      </c>
      <c r="DI8">
        <v>0</v>
      </c>
      <c r="DJ8">
        <v>0</v>
      </c>
      <c r="DK8">
        <v>0</v>
      </c>
      <c r="DL8">
        <v>0</v>
      </c>
      <c r="DM8">
        <v>0</v>
      </c>
      <c r="DN8">
        <v>0</v>
      </c>
      <c r="DO8">
        <v>0</v>
      </c>
      <c r="DP8">
        <v>0</v>
      </c>
      <c r="DQ8">
        <v>0</v>
      </c>
      <c r="DR8">
        <v>40272.114669759932</v>
      </c>
    </row>
    <row r="9" spans="1:122">
      <c r="A9" s="192"/>
      <c r="B9" s="193"/>
      <c r="C9" s="168"/>
      <c r="D9" s="167"/>
      <c r="E9" s="168"/>
      <c r="F9" s="168"/>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69"/>
      <c r="BL9" s="169"/>
      <c r="BM9" s="169"/>
      <c r="BN9" s="169"/>
      <c r="BO9" s="169"/>
      <c r="BP9" s="169"/>
      <c r="BQ9" s="169"/>
      <c r="BR9" s="169"/>
      <c r="BS9" s="169"/>
      <c r="BT9" s="169"/>
      <c r="BU9" s="169"/>
      <c r="BV9" s="169"/>
      <c r="BW9" s="169"/>
      <c r="BX9" s="169"/>
      <c r="BY9" s="169"/>
      <c r="BZ9" s="169"/>
      <c r="CA9" s="169"/>
      <c r="CB9" s="169"/>
      <c r="CC9" s="169"/>
      <c r="CD9" s="169"/>
      <c r="CE9" s="168"/>
      <c r="CF9" s="166"/>
      <c r="CG9" s="166"/>
      <c r="CH9" s="166"/>
      <c r="CI9" s="166"/>
      <c r="CJ9" s="168"/>
      <c r="CK9">
        <v>0</v>
      </c>
      <c r="CL9">
        <v>0</v>
      </c>
      <c r="CM9">
        <v>0</v>
      </c>
      <c r="CN9">
        <v>0</v>
      </c>
      <c r="CO9">
        <v>0</v>
      </c>
      <c r="CP9">
        <v>0</v>
      </c>
      <c r="CQ9">
        <v>0</v>
      </c>
      <c r="CR9">
        <v>0</v>
      </c>
      <c r="CS9">
        <v>0</v>
      </c>
      <c r="CT9">
        <v>0</v>
      </c>
      <c r="CU9">
        <v>0</v>
      </c>
      <c r="CV9">
        <v>0</v>
      </c>
      <c r="CW9">
        <v>0</v>
      </c>
      <c r="CX9">
        <v>0</v>
      </c>
      <c r="CY9">
        <v>0</v>
      </c>
      <c r="CZ9">
        <v>0</v>
      </c>
      <c r="DA9">
        <v>0</v>
      </c>
      <c r="DB9">
        <v>0</v>
      </c>
      <c r="DC9">
        <v>0</v>
      </c>
      <c r="DD9">
        <v>0</v>
      </c>
      <c r="DE9">
        <v>0</v>
      </c>
      <c r="DF9">
        <v>0</v>
      </c>
      <c r="DG9">
        <v>0</v>
      </c>
      <c r="DH9">
        <v>0</v>
      </c>
      <c r="DI9">
        <v>0</v>
      </c>
      <c r="DJ9">
        <v>0</v>
      </c>
      <c r="DK9">
        <v>0</v>
      </c>
      <c r="DL9">
        <v>0</v>
      </c>
      <c r="DM9">
        <v>0</v>
      </c>
      <c r="DN9">
        <v>0</v>
      </c>
      <c r="DO9">
        <v>0</v>
      </c>
      <c r="DP9">
        <v>0</v>
      </c>
      <c r="DQ9">
        <v>0</v>
      </c>
      <c r="DR9">
        <v>147719.45306399488</v>
      </c>
    </row>
    <row r="10" spans="1:122">
      <c r="A10" s="192"/>
      <c r="B10" s="193"/>
      <c r="C10" s="168"/>
      <c r="D10" s="167"/>
      <c r="E10" s="168"/>
      <c r="F10" s="168"/>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69"/>
      <c r="BL10" s="169"/>
      <c r="BM10" s="169"/>
      <c r="BN10" s="169"/>
      <c r="BO10" s="169"/>
      <c r="BP10" s="169"/>
      <c r="BQ10" s="169"/>
      <c r="BR10" s="169"/>
      <c r="BS10" s="169"/>
      <c r="BT10" s="169"/>
      <c r="BU10" s="169"/>
      <c r="BV10" s="169"/>
      <c r="BW10" s="169"/>
      <c r="BX10" s="169"/>
      <c r="BY10" s="169"/>
      <c r="BZ10" s="169"/>
      <c r="CA10" s="169"/>
      <c r="CB10" s="169"/>
      <c r="CC10" s="169"/>
      <c r="CD10" s="169"/>
      <c r="CE10" s="168"/>
      <c r="CF10" s="166"/>
      <c r="CG10" s="166"/>
      <c r="CH10" s="166"/>
      <c r="CI10" s="166"/>
      <c r="CJ10" s="168"/>
      <c r="CK10">
        <v>0</v>
      </c>
      <c r="CL10">
        <v>0</v>
      </c>
      <c r="CM10">
        <v>0</v>
      </c>
      <c r="CN10">
        <v>0</v>
      </c>
      <c r="CO10">
        <v>0</v>
      </c>
      <c r="CP10">
        <v>0</v>
      </c>
      <c r="CQ10">
        <v>0</v>
      </c>
      <c r="CR10">
        <v>0</v>
      </c>
      <c r="CS10">
        <v>0</v>
      </c>
      <c r="CT10">
        <v>0</v>
      </c>
      <c r="CU10">
        <v>0</v>
      </c>
      <c r="CV10">
        <v>0</v>
      </c>
      <c r="CW10">
        <v>0</v>
      </c>
      <c r="CX10">
        <v>0</v>
      </c>
      <c r="CY10">
        <v>0</v>
      </c>
      <c r="CZ10">
        <v>0</v>
      </c>
      <c r="DA10">
        <v>0</v>
      </c>
      <c r="DB10">
        <v>0</v>
      </c>
      <c r="DC10">
        <v>0</v>
      </c>
      <c r="DD10">
        <v>0</v>
      </c>
      <c r="DE10">
        <v>0</v>
      </c>
      <c r="DF10">
        <v>0</v>
      </c>
      <c r="DG10">
        <v>0</v>
      </c>
      <c r="DH10">
        <v>0</v>
      </c>
      <c r="DI10">
        <v>0</v>
      </c>
      <c r="DJ10">
        <v>0</v>
      </c>
      <c r="DK10">
        <v>0</v>
      </c>
      <c r="DL10">
        <v>0</v>
      </c>
      <c r="DM10">
        <v>0</v>
      </c>
      <c r="DN10">
        <v>0</v>
      </c>
      <c r="DO10">
        <v>0</v>
      </c>
      <c r="DP10">
        <v>0</v>
      </c>
      <c r="DQ10">
        <v>0</v>
      </c>
      <c r="DR10">
        <v>541561.95620294078</v>
      </c>
    </row>
    <row r="11" spans="1:122" ht="15.75" customHeight="1">
      <c r="A11" s="192"/>
      <c r="B11" s="193"/>
      <c r="C11" s="168"/>
      <c r="D11" s="167"/>
      <c r="E11" s="167"/>
      <c r="F11" s="167"/>
      <c r="G11" s="194"/>
      <c r="H11" s="194"/>
      <c r="I11" s="194"/>
      <c r="J11" s="194"/>
      <c r="K11" s="195"/>
      <c r="L11" s="195"/>
      <c r="M11" s="195"/>
      <c r="N11" s="195"/>
      <c r="O11" s="195"/>
      <c r="P11" s="167"/>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c r="BW11" s="168"/>
      <c r="BX11" s="168"/>
      <c r="BY11" s="169"/>
      <c r="BZ11" s="169"/>
      <c r="CA11" s="169"/>
      <c r="CB11" s="169"/>
      <c r="CC11" s="169"/>
      <c r="CD11" s="169"/>
      <c r="CE11" s="168"/>
      <c r="CF11" s="166"/>
      <c r="CG11" s="166"/>
      <c r="CH11" s="166"/>
      <c r="CI11" s="166"/>
      <c r="CJ11" s="168"/>
      <c r="CK11">
        <v>0</v>
      </c>
      <c r="CL11">
        <v>0</v>
      </c>
      <c r="CM11">
        <v>0</v>
      </c>
      <c r="CN11">
        <v>0</v>
      </c>
      <c r="CO11">
        <v>0</v>
      </c>
      <c r="CP11">
        <v>0</v>
      </c>
      <c r="CQ11">
        <v>0</v>
      </c>
      <c r="CR11">
        <v>0</v>
      </c>
      <c r="CS11">
        <v>0</v>
      </c>
      <c r="CT11">
        <v>0</v>
      </c>
      <c r="CU11">
        <v>0</v>
      </c>
      <c r="CV11">
        <v>0</v>
      </c>
      <c r="CW11">
        <v>0</v>
      </c>
      <c r="CX11">
        <v>0</v>
      </c>
      <c r="CY11">
        <v>0</v>
      </c>
      <c r="CZ11">
        <v>0</v>
      </c>
      <c r="DA11">
        <v>0</v>
      </c>
      <c r="DB11">
        <v>0</v>
      </c>
      <c r="DC11">
        <v>0</v>
      </c>
      <c r="DD11">
        <v>0</v>
      </c>
      <c r="DE11">
        <v>0</v>
      </c>
      <c r="DF11">
        <v>0</v>
      </c>
      <c r="DG11">
        <v>0</v>
      </c>
      <c r="DH11">
        <v>0</v>
      </c>
      <c r="DI11">
        <v>0</v>
      </c>
      <c r="DJ11">
        <v>0</v>
      </c>
      <c r="DK11">
        <v>0</v>
      </c>
      <c r="DL11">
        <v>0</v>
      </c>
      <c r="DM11">
        <v>0</v>
      </c>
      <c r="DN11">
        <v>0</v>
      </c>
      <c r="DO11">
        <v>0</v>
      </c>
      <c r="DP11">
        <v>0</v>
      </c>
      <c r="DQ11">
        <v>0</v>
      </c>
      <c r="DR11">
        <v>274614.24061588442</v>
      </c>
    </row>
    <row r="12" spans="1:122">
      <c r="A12" s="192"/>
      <c r="B12" s="193"/>
      <c r="C12" s="168"/>
      <c r="D12" s="167"/>
      <c r="E12" s="168"/>
      <c r="F12" s="168"/>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169"/>
      <c r="BI12" s="169"/>
      <c r="BJ12" s="169"/>
      <c r="BK12" s="169"/>
      <c r="BL12" s="169"/>
      <c r="BM12" s="169"/>
      <c r="BN12" s="169"/>
      <c r="BO12" s="169"/>
      <c r="BP12" s="169"/>
      <c r="BQ12" s="169"/>
      <c r="BR12" s="169"/>
      <c r="BS12" s="169"/>
      <c r="BT12" s="169"/>
      <c r="BU12" s="169"/>
      <c r="BV12" s="169"/>
      <c r="BW12" s="169"/>
      <c r="BX12" s="169"/>
      <c r="BY12" s="169"/>
      <c r="BZ12" s="169"/>
      <c r="CA12" s="169"/>
      <c r="CB12" s="169"/>
      <c r="CC12" s="169"/>
      <c r="CD12" s="169"/>
      <c r="CE12" s="168"/>
      <c r="CF12" s="166"/>
      <c r="CG12" s="166"/>
      <c r="CH12" s="166"/>
      <c r="CI12" s="166"/>
      <c r="CJ12" s="168"/>
      <c r="CK12">
        <v>0</v>
      </c>
      <c r="CL12">
        <v>0</v>
      </c>
      <c r="CM12">
        <v>0</v>
      </c>
      <c r="CN12">
        <v>0</v>
      </c>
      <c r="CO12">
        <v>0</v>
      </c>
      <c r="CP12">
        <v>0</v>
      </c>
      <c r="CQ12">
        <v>0</v>
      </c>
      <c r="CR12">
        <v>0</v>
      </c>
      <c r="CS12">
        <v>0</v>
      </c>
      <c r="CT12">
        <v>0</v>
      </c>
      <c r="CU12">
        <v>0</v>
      </c>
      <c r="CV12">
        <v>0</v>
      </c>
      <c r="CW12">
        <v>0</v>
      </c>
      <c r="CX12">
        <v>0</v>
      </c>
      <c r="CY12">
        <v>0</v>
      </c>
      <c r="CZ12">
        <v>0</v>
      </c>
      <c r="DA12">
        <v>0</v>
      </c>
      <c r="DB12">
        <v>0</v>
      </c>
      <c r="DC12">
        <v>0</v>
      </c>
      <c r="DD12">
        <v>0</v>
      </c>
      <c r="DE12">
        <v>0</v>
      </c>
      <c r="DF12">
        <v>0</v>
      </c>
      <c r="DG12">
        <v>0</v>
      </c>
      <c r="DH12">
        <v>0</v>
      </c>
      <c r="DI12">
        <v>0</v>
      </c>
      <c r="DJ12">
        <v>0</v>
      </c>
      <c r="DK12">
        <v>0</v>
      </c>
      <c r="DL12">
        <v>0</v>
      </c>
      <c r="DM12">
        <v>0</v>
      </c>
      <c r="DN12">
        <v>0</v>
      </c>
      <c r="DO12">
        <v>0</v>
      </c>
      <c r="DP12">
        <v>0</v>
      </c>
      <c r="DQ12">
        <v>0</v>
      </c>
      <c r="DR12">
        <v>613053.28429652844</v>
      </c>
    </row>
    <row r="13" spans="1:122">
      <c r="A13" s="192"/>
      <c r="B13" s="193"/>
      <c r="C13" s="168"/>
      <c r="D13" s="167"/>
      <c r="E13" s="168"/>
      <c r="F13" s="168"/>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8"/>
      <c r="CF13" s="166"/>
      <c r="CG13" s="166"/>
      <c r="CH13" s="166"/>
      <c r="CI13" s="166"/>
      <c r="CJ13" s="168"/>
      <c r="CK13">
        <v>0</v>
      </c>
      <c r="CL13">
        <v>0</v>
      </c>
      <c r="CM13">
        <v>0</v>
      </c>
      <c r="CN13">
        <v>0</v>
      </c>
      <c r="CO13">
        <v>0</v>
      </c>
      <c r="CP13">
        <v>0</v>
      </c>
      <c r="CQ13">
        <v>0</v>
      </c>
      <c r="CR13">
        <v>0</v>
      </c>
      <c r="CS13">
        <v>0</v>
      </c>
      <c r="CT13">
        <v>0</v>
      </c>
      <c r="CU13">
        <v>0</v>
      </c>
      <c r="CV13">
        <v>0</v>
      </c>
      <c r="CW13">
        <v>0</v>
      </c>
      <c r="CX13">
        <v>0</v>
      </c>
      <c r="CY13">
        <v>0</v>
      </c>
      <c r="CZ13">
        <v>0</v>
      </c>
      <c r="DA13">
        <v>0</v>
      </c>
      <c r="DB13">
        <v>0</v>
      </c>
      <c r="DC13">
        <v>0</v>
      </c>
      <c r="DD13">
        <v>0</v>
      </c>
      <c r="DE13">
        <v>0</v>
      </c>
      <c r="DF13">
        <v>0</v>
      </c>
      <c r="DG13">
        <v>0</v>
      </c>
      <c r="DH13">
        <v>0</v>
      </c>
      <c r="DI13">
        <v>0</v>
      </c>
      <c r="DJ13">
        <v>0</v>
      </c>
      <c r="DK13">
        <v>0</v>
      </c>
      <c r="DL13">
        <v>0</v>
      </c>
      <c r="DM13">
        <v>0</v>
      </c>
      <c r="DN13">
        <v>0</v>
      </c>
      <c r="DO13">
        <v>0</v>
      </c>
      <c r="DP13">
        <v>0</v>
      </c>
      <c r="DQ13">
        <v>0</v>
      </c>
      <c r="DR13">
        <v>-211855.86582269694</v>
      </c>
    </row>
    <row r="14" spans="1:122">
      <c r="A14" s="192"/>
      <c r="B14" s="193"/>
      <c r="C14" s="168"/>
      <c r="D14" s="167"/>
      <c r="E14" s="168"/>
      <c r="F14" s="168"/>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8"/>
      <c r="CF14" s="166"/>
      <c r="CG14" s="166"/>
      <c r="CH14" s="166"/>
      <c r="CI14" s="166"/>
      <c r="CJ14" s="168"/>
      <c r="CK14">
        <v>0</v>
      </c>
      <c r="CL14">
        <v>0</v>
      </c>
      <c r="CM14">
        <v>0</v>
      </c>
      <c r="CN14">
        <v>0</v>
      </c>
      <c r="CO14">
        <v>0</v>
      </c>
      <c r="CP14">
        <v>0</v>
      </c>
      <c r="CQ14">
        <v>0</v>
      </c>
      <c r="CR14">
        <v>0</v>
      </c>
      <c r="CS14">
        <v>0</v>
      </c>
      <c r="CT14">
        <v>0</v>
      </c>
      <c r="CU14">
        <v>0</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287101.70248391549</v>
      </c>
    </row>
    <row r="15" spans="1:122">
      <c r="A15" s="192"/>
      <c r="B15" s="193"/>
      <c r="C15" s="168"/>
      <c r="D15" s="167"/>
      <c r="E15" s="168"/>
      <c r="F15" s="168"/>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8"/>
      <c r="CF15" s="166"/>
      <c r="CG15" s="166"/>
      <c r="CH15" s="166"/>
      <c r="CI15" s="166"/>
      <c r="CJ15" s="168"/>
      <c r="CK15">
        <v>0</v>
      </c>
      <c r="CL15">
        <v>0</v>
      </c>
      <c r="CM15">
        <v>0</v>
      </c>
      <c r="CN15">
        <v>0</v>
      </c>
      <c r="CO15">
        <v>0</v>
      </c>
      <c r="CP15">
        <v>0</v>
      </c>
      <c r="CQ15">
        <v>0</v>
      </c>
      <c r="CR15">
        <v>0</v>
      </c>
      <c r="CS15">
        <v>0</v>
      </c>
      <c r="CT15">
        <v>0</v>
      </c>
      <c r="CU15">
        <v>0</v>
      </c>
      <c r="CV15">
        <v>0</v>
      </c>
      <c r="CW15">
        <v>0</v>
      </c>
      <c r="CX15">
        <v>0</v>
      </c>
      <c r="CY15">
        <v>0</v>
      </c>
      <c r="CZ15">
        <v>0</v>
      </c>
      <c r="DA15">
        <v>0</v>
      </c>
      <c r="DB15">
        <v>0</v>
      </c>
      <c r="DC15">
        <v>0</v>
      </c>
      <c r="DD15">
        <v>0</v>
      </c>
      <c r="DE15">
        <v>0</v>
      </c>
      <c r="DF15">
        <v>0</v>
      </c>
      <c r="DG15">
        <v>0</v>
      </c>
      <c r="DH15">
        <v>0</v>
      </c>
      <c r="DI15">
        <v>0</v>
      </c>
      <c r="DJ15">
        <v>0</v>
      </c>
      <c r="DK15">
        <v>0</v>
      </c>
      <c r="DL15">
        <v>0</v>
      </c>
      <c r="DM15">
        <v>0</v>
      </c>
      <c r="DN15">
        <v>0</v>
      </c>
      <c r="DO15">
        <v>0</v>
      </c>
      <c r="DP15">
        <v>0</v>
      </c>
      <c r="DQ15">
        <v>0</v>
      </c>
      <c r="DR15">
        <v>473403.5794520292</v>
      </c>
    </row>
    <row r="16" spans="1:122">
      <c r="A16" s="192"/>
      <c r="B16" s="193"/>
      <c r="C16" s="168"/>
      <c r="D16" s="167"/>
      <c r="E16" s="168"/>
      <c r="F16" s="168"/>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c r="AW16" s="169"/>
      <c r="AX16" s="169"/>
      <c r="AY16" s="169"/>
      <c r="AZ16" s="169"/>
      <c r="BA16" s="169"/>
      <c r="BB16" s="169"/>
      <c r="BC16" s="169"/>
      <c r="BD16" s="169"/>
      <c r="BE16" s="169"/>
      <c r="BF16" s="169"/>
      <c r="BG16" s="169"/>
      <c r="BH16" s="169"/>
      <c r="BI16" s="169"/>
      <c r="BJ16" s="169"/>
      <c r="BK16" s="169"/>
      <c r="BL16" s="169"/>
      <c r="BM16" s="169"/>
      <c r="BN16" s="169"/>
      <c r="BO16" s="169"/>
      <c r="BP16" s="169"/>
      <c r="BQ16" s="169"/>
      <c r="BR16" s="169"/>
      <c r="BS16" s="169"/>
      <c r="BT16" s="169"/>
      <c r="BU16" s="169"/>
      <c r="BV16" s="169"/>
      <c r="BW16" s="169"/>
      <c r="BX16" s="169"/>
      <c r="BY16" s="169"/>
      <c r="BZ16" s="169"/>
      <c r="CA16" s="169"/>
      <c r="CB16" s="169"/>
      <c r="CC16" s="169"/>
      <c r="CD16" s="169"/>
      <c r="CE16" s="168"/>
      <c r="CF16" s="166"/>
      <c r="CG16" s="166"/>
      <c r="CH16" s="166"/>
      <c r="CI16" s="166"/>
      <c r="CJ16" s="168"/>
      <c r="CK16">
        <v>0</v>
      </c>
      <c r="CL16">
        <v>0</v>
      </c>
      <c r="CM16">
        <v>0</v>
      </c>
      <c r="CN16">
        <v>0</v>
      </c>
      <c r="CO16">
        <v>0</v>
      </c>
      <c r="CP16">
        <v>0</v>
      </c>
      <c r="CQ16">
        <v>0</v>
      </c>
      <c r="CR16">
        <v>0</v>
      </c>
      <c r="CS16">
        <v>0</v>
      </c>
      <c r="CT16">
        <v>0</v>
      </c>
      <c r="CU16">
        <v>0</v>
      </c>
      <c r="CV16">
        <v>0</v>
      </c>
      <c r="CW16">
        <v>0</v>
      </c>
      <c r="CX16">
        <v>0</v>
      </c>
      <c r="CY16">
        <v>0</v>
      </c>
      <c r="CZ16">
        <v>0</v>
      </c>
      <c r="DA16">
        <v>0</v>
      </c>
      <c r="DB16">
        <v>0</v>
      </c>
      <c r="DC16">
        <v>0</v>
      </c>
      <c r="DD16">
        <v>0</v>
      </c>
      <c r="DE16">
        <v>0</v>
      </c>
      <c r="DF16">
        <v>0</v>
      </c>
      <c r="DG16">
        <v>0</v>
      </c>
      <c r="DH16">
        <v>0</v>
      </c>
      <c r="DI16">
        <v>0</v>
      </c>
      <c r="DJ16">
        <v>0</v>
      </c>
      <c r="DK16">
        <v>0</v>
      </c>
      <c r="DL16">
        <v>0</v>
      </c>
      <c r="DM16">
        <v>0</v>
      </c>
      <c r="DN16">
        <v>0</v>
      </c>
      <c r="DO16">
        <v>0</v>
      </c>
      <c r="DP16">
        <v>0</v>
      </c>
      <c r="DQ16">
        <v>0</v>
      </c>
      <c r="DR16">
        <v>200375.767059543</v>
      </c>
    </row>
    <row r="17" spans="1:122">
      <c r="A17" s="192"/>
      <c r="B17" s="193"/>
      <c r="C17" s="168"/>
      <c r="D17" s="167"/>
      <c r="E17" s="168"/>
      <c r="F17" s="168"/>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A17" s="169"/>
      <c r="CB17" s="169"/>
      <c r="CC17" s="169"/>
      <c r="CD17" s="169"/>
      <c r="CE17" s="168"/>
      <c r="CF17" s="166"/>
      <c r="CG17" s="166"/>
      <c r="CH17" s="166"/>
      <c r="CI17" s="166"/>
      <c r="CJ17" s="168"/>
      <c r="CK17">
        <v>0</v>
      </c>
      <c r="CL17">
        <v>0</v>
      </c>
      <c r="CM17">
        <v>0</v>
      </c>
      <c r="CN17">
        <v>0</v>
      </c>
      <c r="CO17">
        <v>0</v>
      </c>
      <c r="CP17">
        <v>0</v>
      </c>
      <c r="CQ17">
        <v>0</v>
      </c>
      <c r="CR17">
        <v>0</v>
      </c>
      <c r="CS17">
        <v>0</v>
      </c>
      <c r="CT17">
        <v>0</v>
      </c>
      <c r="CU17">
        <v>0</v>
      </c>
      <c r="CV17">
        <v>0</v>
      </c>
      <c r="CW17">
        <v>0</v>
      </c>
      <c r="CX17">
        <v>0</v>
      </c>
      <c r="CY17">
        <v>0</v>
      </c>
      <c r="CZ17">
        <v>0</v>
      </c>
      <c r="DA17">
        <v>0</v>
      </c>
      <c r="DB17">
        <v>0</v>
      </c>
      <c r="DC17">
        <v>0</v>
      </c>
      <c r="DD17">
        <v>0</v>
      </c>
      <c r="DE17">
        <v>0</v>
      </c>
      <c r="DF17">
        <v>0</v>
      </c>
      <c r="DG17">
        <v>0</v>
      </c>
      <c r="DH17">
        <v>0</v>
      </c>
      <c r="DI17">
        <v>0</v>
      </c>
      <c r="DJ17">
        <v>0</v>
      </c>
      <c r="DK17">
        <v>0</v>
      </c>
      <c r="DL17">
        <v>0</v>
      </c>
      <c r="DM17">
        <v>0</v>
      </c>
      <c r="DN17">
        <v>0</v>
      </c>
      <c r="DO17">
        <v>0</v>
      </c>
      <c r="DP17">
        <v>0</v>
      </c>
      <c r="DQ17">
        <v>0</v>
      </c>
      <c r="DR17">
        <v>111069.38831656118</v>
      </c>
    </row>
    <row r="18" spans="1:122">
      <c r="A18" s="192"/>
      <c r="B18" s="193"/>
      <c r="C18" s="168"/>
      <c r="D18" s="167"/>
      <c r="E18" s="168"/>
      <c r="F18" s="168"/>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69"/>
      <c r="AZ18" s="169"/>
      <c r="BA18" s="169"/>
      <c r="BB18" s="169"/>
      <c r="BC18" s="169"/>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8"/>
      <c r="CF18" s="166"/>
      <c r="CG18" s="166"/>
      <c r="CH18" s="166"/>
      <c r="CI18" s="166"/>
      <c r="CJ18" s="168"/>
      <c r="CK18">
        <v>0</v>
      </c>
      <c r="CL18">
        <v>0</v>
      </c>
      <c r="CM18">
        <v>0</v>
      </c>
      <c r="CN18">
        <v>0</v>
      </c>
      <c r="CO18">
        <v>0</v>
      </c>
      <c r="CP18">
        <v>0</v>
      </c>
      <c r="CQ18">
        <v>0</v>
      </c>
      <c r="CR18">
        <v>0</v>
      </c>
      <c r="CS18">
        <v>0</v>
      </c>
      <c r="CT18">
        <v>0</v>
      </c>
      <c r="CU18">
        <v>0</v>
      </c>
      <c r="CV18">
        <v>0</v>
      </c>
      <c r="CW18">
        <v>0</v>
      </c>
      <c r="CX18">
        <v>0</v>
      </c>
      <c r="CY18">
        <v>0</v>
      </c>
      <c r="CZ18">
        <v>0</v>
      </c>
      <c r="DA18">
        <v>0</v>
      </c>
      <c r="DB18">
        <v>0</v>
      </c>
      <c r="DC18">
        <v>0</v>
      </c>
      <c r="DD18">
        <v>0</v>
      </c>
      <c r="DE18">
        <v>0</v>
      </c>
      <c r="DF18">
        <v>0</v>
      </c>
      <c r="DG18">
        <v>0</v>
      </c>
      <c r="DH18">
        <v>0</v>
      </c>
      <c r="DI18">
        <v>0</v>
      </c>
      <c r="DJ18">
        <v>0</v>
      </c>
      <c r="DK18">
        <v>0</v>
      </c>
      <c r="DL18">
        <v>0</v>
      </c>
      <c r="DM18">
        <v>0</v>
      </c>
      <c r="DN18">
        <v>0</v>
      </c>
      <c r="DO18">
        <v>0</v>
      </c>
      <c r="DP18">
        <v>0</v>
      </c>
      <c r="DQ18">
        <v>0</v>
      </c>
      <c r="DR18">
        <v>384386.53042488499</v>
      </c>
    </row>
    <row r="19" spans="1:122">
      <c r="A19" s="192"/>
      <c r="B19" s="193"/>
      <c r="C19" s="168"/>
      <c r="D19" s="167"/>
      <c r="E19" s="168"/>
      <c r="F19" s="168"/>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69"/>
      <c r="BA19" s="169"/>
      <c r="BB19" s="169"/>
      <c r="BC19" s="169"/>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8"/>
      <c r="CF19" s="166"/>
      <c r="CG19" s="166"/>
      <c r="CH19" s="166"/>
      <c r="CI19" s="166"/>
      <c r="CJ19" s="168"/>
      <c r="CK19">
        <v>0</v>
      </c>
      <c r="CL19">
        <v>0</v>
      </c>
      <c r="CM19">
        <v>0</v>
      </c>
      <c r="CN19">
        <v>0</v>
      </c>
      <c r="CO19">
        <v>0</v>
      </c>
      <c r="CP19">
        <v>0</v>
      </c>
      <c r="CQ19">
        <v>0</v>
      </c>
      <c r="CR19">
        <v>0</v>
      </c>
      <c r="CS19">
        <v>0</v>
      </c>
      <c r="CT19">
        <v>0</v>
      </c>
      <c r="CU19">
        <v>0</v>
      </c>
      <c r="CV19">
        <v>0</v>
      </c>
      <c r="CW19">
        <v>0</v>
      </c>
      <c r="CX19">
        <v>0</v>
      </c>
      <c r="CY19">
        <v>0</v>
      </c>
      <c r="CZ19">
        <v>0</v>
      </c>
      <c r="DA19">
        <v>0</v>
      </c>
      <c r="DB19">
        <v>0</v>
      </c>
      <c r="DC19">
        <v>0</v>
      </c>
      <c r="DD19">
        <v>0</v>
      </c>
      <c r="DE19">
        <v>0</v>
      </c>
      <c r="DF19">
        <v>0</v>
      </c>
      <c r="DG19">
        <v>0</v>
      </c>
      <c r="DH19">
        <v>0</v>
      </c>
      <c r="DI19">
        <v>0</v>
      </c>
      <c r="DJ19">
        <v>0</v>
      </c>
      <c r="DK19">
        <v>0</v>
      </c>
      <c r="DL19">
        <v>0</v>
      </c>
      <c r="DM19">
        <v>0</v>
      </c>
      <c r="DN19">
        <v>0</v>
      </c>
      <c r="DO19">
        <v>0</v>
      </c>
      <c r="DP19">
        <v>0</v>
      </c>
      <c r="DQ19">
        <v>0</v>
      </c>
      <c r="DR19">
        <v>46920.406685215348</v>
      </c>
    </row>
    <row r="20" spans="1:122">
      <c r="A20" s="192"/>
      <c r="B20" s="193"/>
      <c r="C20" s="168"/>
      <c r="D20" s="167"/>
      <c r="E20" s="168"/>
      <c r="F20" s="168"/>
      <c r="G20" s="169"/>
      <c r="H20" s="169"/>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c r="AW20" s="169"/>
      <c r="AX20" s="169"/>
      <c r="AY20" s="169"/>
      <c r="AZ20" s="169"/>
      <c r="BA20" s="169"/>
      <c r="BB20" s="169"/>
      <c r="BC20" s="169"/>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8"/>
      <c r="CF20" s="166"/>
      <c r="CG20" s="166"/>
      <c r="CH20" s="166"/>
      <c r="CI20" s="166"/>
      <c r="CJ20" s="168"/>
      <c r="CK20">
        <v>0</v>
      </c>
      <c r="CL20">
        <v>0</v>
      </c>
      <c r="CM20">
        <v>0</v>
      </c>
      <c r="CN20">
        <v>0</v>
      </c>
      <c r="CO20">
        <v>0</v>
      </c>
      <c r="CP20">
        <v>0</v>
      </c>
      <c r="CQ20">
        <v>0</v>
      </c>
      <c r="CR20">
        <v>0</v>
      </c>
      <c r="CS20">
        <v>0</v>
      </c>
      <c r="CT20">
        <v>0</v>
      </c>
      <c r="CU20">
        <v>0</v>
      </c>
      <c r="CV20">
        <v>0</v>
      </c>
      <c r="CW20">
        <v>0</v>
      </c>
      <c r="CX20">
        <v>0</v>
      </c>
      <c r="CY20">
        <v>0</v>
      </c>
      <c r="CZ20">
        <v>0</v>
      </c>
      <c r="DA20">
        <v>0</v>
      </c>
      <c r="DB20">
        <v>0</v>
      </c>
      <c r="DC20">
        <v>0</v>
      </c>
      <c r="DD20">
        <v>0</v>
      </c>
      <c r="DE20">
        <v>0</v>
      </c>
      <c r="DF20">
        <v>0</v>
      </c>
      <c r="DG20">
        <v>0</v>
      </c>
      <c r="DH20">
        <v>0</v>
      </c>
      <c r="DI20">
        <v>0</v>
      </c>
      <c r="DJ20">
        <v>0</v>
      </c>
      <c r="DK20">
        <v>0</v>
      </c>
      <c r="DL20">
        <v>0</v>
      </c>
      <c r="DM20">
        <v>0</v>
      </c>
      <c r="DN20">
        <v>0</v>
      </c>
      <c r="DO20">
        <v>0</v>
      </c>
      <c r="DP20">
        <v>0</v>
      </c>
      <c r="DQ20">
        <v>0</v>
      </c>
      <c r="DR20">
        <v>274805.60296604829</v>
      </c>
    </row>
    <row r="21" spans="1:122">
      <c r="A21" s="192"/>
      <c r="B21" s="193"/>
      <c r="C21" s="168"/>
      <c r="D21" s="167"/>
      <c r="E21" s="168"/>
      <c r="F21" s="168"/>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68"/>
      <c r="CF21" s="166"/>
      <c r="CG21" s="166"/>
      <c r="CH21" s="166"/>
      <c r="CI21" s="166"/>
      <c r="CJ21" s="168"/>
      <c r="CK21">
        <v>0</v>
      </c>
      <c r="CL21">
        <v>0</v>
      </c>
      <c r="CM21">
        <v>0</v>
      </c>
      <c r="CN21">
        <v>0</v>
      </c>
      <c r="CO21">
        <v>0</v>
      </c>
      <c r="CP21">
        <v>0</v>
      </c>
      <c r="CQ21">
        <v>0</v>
      </c>
      <c r="CR21">
        <v>0</v>
      </c>
      <c r="CS21">
        <v>0</v>
      </c>
      <c r="CT21">
        <v>0</v>
      </c>
      <c r="CU21">
        <v>0</v>
      </c>
      <c r="CV21">
        <v>0</v>
      </c>
      <c r="CW21">
        <v>0</v>
      </c>
      <c r="CX21">
        <v>0</v>
      </c>
      <c r="CY21">
        <v>0</v>
      </c>
      <c r="CZ21">
        <v>0</v>
      </c>
      <c r="DA21">
        <v>0</v>
      </c>
      <c r="DB21">
        <v>0</v>
      </c>
      <c r="DC21">
        <v>0</v>
      </c>
      <c r="DD21">
        <v>0</v>
      </c>
      <c r="DE21">
        <v>0</v>
      </c>
      <c r="DF21">
        <v>0</v>
      </c>
      <c r="DG21">
        <v>0</v>
      </c>
      <c r="DH21">
        <v>0</v>
      </c>
      <c r="DI21">
        <v>0</v>
      </c>
      <c r="DJ21">
        <v>0</v>
      </c>
      <c r="DK21">
        <v>0</v>
      </c>
      <c r="DL21">
        <v>0</v>
      </c>
      <c r="DM21">
        <v>0</v>
      </c>
      <c r="DN21">
        <v>0</v>
      </c>
      <c r="DO21">
        <v>0</v>
      </c>
      <c r="DP21">
        <v>0</v>
      </c>
      <c r="DQ21">
        <v>0</v>
      </c>
      <c r="DR21">
        <v>306273.4302705687</v>
      </c>
    </row>
    <row r="22" spans="1:122">
      <c r="A22" s="192"/>
      <c r="B22" s="193"/>
      <c r="C22" s="168"/>
      <c r="D22" s="167"/>
      <c r="E22" s="168"/>
      <c r="F22" s="168"/>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P22" s="169"/>
      <c r="AQ22" s="169"/>
      <c r="AR22" s="169"/>
      <c r="AS22" s="169"/>
      <c r="AT22" s="169"/>
      <c r="AU22" s="169"/>
      <c r="AV22" s="169"/>
      <c r="AW22" s="169"/>
      <c r="AX22" s="169"/>
      <c r="AY22" s="169"/>
      <c r="AZ22" s="169"/>
      <c r="BA22" s="169"/>
      <c r="BB22" s="169"/>
      <c r="BC22" s="169"/>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c r="CC22" s="169"/>
      <c r="CD22" s="169"/>
      <c r="CE22" s="168"/>
      <c r="CF22" s="166"/>
      <c r="CG22" s="166"/>
      <c r="CH22" s="166"/>
      <c r="CI22" s="166"/>
      <c r="CJ22" s="168"/>
      <c r="CK22">
        <v>0</v>
      </c>
      <c r="CL22">
        <v>0</v>
      </c>
      <c r="CM22">
        <v>0</v>
      </c>
      <c r="CN22">
        <v>0</v>
      </c>
      <c r="CO22">
        <v>0</v>
      </c>
      <c r="CP22">
        <v>0</v>
      </c>
      <c r="CQ22">
        <v>0</v>
      </c>
      <c r="CR22">
        <v>0</v>
      </c>
      <c r="CS22">
        <v>0</v>
      </c>
      <c r="CT22">
        <v>0</v>
      </c>
      <c r="CU22">
        <v>0</v>
      </c>
      <c r="CV22">
        <v>0</v>
      </c>
      <c r="CW22">
        <v>0</v>
      </c>
      <c r="CX22">
        <v>0</v>
      </c>
      <c r="CY22">
        <v>0</v>
      </c>
      <c r="CZ22">
        <v>0</v>
      </c>
      <c r="DA22">
        <v>0</v>
      </c>
      <c r="DB22">
        <v>0</v>
      </c>
      <c r="DC22">
        <v>0</v>
      </c>
      <c r="DD22">
        <v>0</v>
      </c>
      <c r="DE22">
        <v>0</v>
      </c>
      <c r="DF22">
        <v>0</v>
      </c>
      <c r="DG22">
        <v>0</v>
      </c>
      <c r="DH22">
        <v>0</v>
      </c>
      <c r="DI22">
        <v>0</v>
      </c>
      <c r="DJ22">
        <v>0</v>
      </c>
      <c r="DK22">
        <v>0</v>
      </c>
      <c r="DL22">
        <v>0</v>
      </c>
      <c r="DM22">
        <v>0</v>
      </c>
      <c r="DN22">
        <v>0</v>
      </c>
      <c r="DO22">
        <v>0</v>
      </c>
      <c r="DP22">
        <v>0</v>
      </c>
      <c r="DQ22">
        <v>0</v>
      </c>
      <c r="DR22">
        <v>238810.49999999892</v>
      </c>
    </row>
    <row r="23" spans="1:122">
      <c r="A23" s="192"/>
      <c r="B23" s="193"/>
      <c r="C23" s="168"/>
      <c r="D23" s="167"/>
      <c r="E23" s="168"/>
      <c r="F23" s="168"/>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8"/>
      <c r="CF23" s="166"/>
      <c r="CG23" s="166"/>
      <c r="CH23" s="166"/>
      <c r="CI23" s="166"/>
      <c r="CJ23" s="168"/>
      <c r="CK23">
        <v>0</v>
      </c>
      <c r="CL23">
        <v>0</v>
      </c>
      <c r="CM23">
        <v>0</v>
      </c>
      <c r="CN23">
        <v>0</v>
      </c>
      <c r="CO23">
        <v>0</v>
      </c>
      <c r="CP23">
        <v>0</v>
      </c>
      <c r="CQ23">
        <v>0</v>
      </c>
      <c r="CR23">
        <v>0</v>
      </c>
      <c r="CS23">
        <v>0</v>
      </c>
      <c r="CT23">
        <v>0</v>
      </c>
      <c r="CU23">
        <v>0</v>
      </c>
      <c r="CV23">
        <v>0</v>
      </c>
      <c r="CW23">
        <v>0</v>
      </c>
      <c r="CX23">
        <v>0</v>
      </c>
      <c r="CY23">
        <v>0</v>
      </c>
      <c r="CZ23">
        <v>0</v>
      </c>
      <c r="DA23">
        <v>0</v>
      </c>
      <c r="DB23">
        <v>0</v>
      </c>
      <c r="DC23">
        <v>0</v>
      </c>
      <c r="DD23">
        <v>0</v>
      </c>
      <c r="DE23">
        <v>0</v>
      </c>
      <c r="DF23">
        <v>0</v>
      </c>
      <c r="DG23">
        <v>0</v>
      </c>
      <c r="DH23">
        <v>0</v>
      </c>
      <c r="DI23">
        <v>0</v>
      </c>
      <c r="DJ23">
        <v>0</v>
      </c>
      <c r="DK23">
        <v>0</v>
      </c>
      <c r="DL23">
        <v>0</v>
      </c>
      <c r="DM23">
        <v>0</v>
      </c>
      <c r="DN23">
        <v>0</v>
      </c>
      <c r="DO23">
        <v>0</v>
      </c>
      <c r="DP23">
        <v>0</v>
      </c>
      <c r="DQ23">
        <v>0</v>
      </c>
      <c r="DR23">
        <v>99436.251282708137</v>
      </c>
    </row>
    <row r="24" spans="1:122">
      <c r="A24" s="192"/>
      <c r="B24" s="193"/>
      <c r="C24" s="168"/>
      <c r="D24" s="167"/>
      <c r="E24" s="168"/>
      <c r="F24" s="168"/>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8"/>
      <c r="CF24" s="166"/>
      <c r="CG24" s="166"/>
      <c r="CH24" s="166"/>
      <c r="CI24" s="166"/>
      <c r="CJ24" s="168"/>
      <c r="CK24">
        <v>0</v>
      </c>
      <c r="CL24">
        <v>0</v>
      </c>
      <c r="CM24">
        <v>0</v>
      </c>
      <c r="CN24">
        <v>0</v>
      </c>
      <c r="CO24">
        <v>0</v>
      </c>
      <c r="CP24">
        <v>0</v>
      </c>
      <c r="CQ24">
        <v>0</v>
      </c>
      <c r="CR24">
        <v>0</v>
      </c>
      <c r="CS24">
        <v>0</v>
      </c>
      <c r="CT24">
        <v>0</v>
      </c>
      <c r="CU24">
        <v>0</v>
      </c>
      <c r="CV24">
        <v>0</v>
      </c>
      <c r="CW24">
        <v>0</v>
      </c>
      <c r="CX24">
        <v>0</v>
      </c>
      <c r="CY24">
        <v>0</v>
      </c>
      <c r="CZ24">
        <v>0</v>
      </c>
      <c r="DA24">
        <v>0</v>
      </c>
      <c r="DB24">
        <v>0</v>
      </c>
      <c r="DC24">
        <v>0</v>
      </c>
      <c r="DD24">
        <v>0</v>
      </c>
      <c r="DE24">
        <v>0</v>
      </c>
      <c r="DF24">
        <v>0</v>
      </c>
      <c r="DG24">
        <v>0</v>
      </c>
      <c r="DH24">
        <v>0</v>
      </c>
      <c r="DI24">
        <v>0</v>
      </c>
      <c r="DJ24">
        <v>0</v>
      </c>
      <c r="DK24">
        <v>0</v>
      </c>
      <c r="DL24">
        <v>0</v>
      </c>
      <c r="DM24">
        <v>0</v>
      </c>
      <c r="DN24">
        <v>0</v>
      </c>
      <c r="DO24">
        <v>0</v>
      </c>
      <c r="DP24">
        <v>0</v>
      </c>
      <c r="DQ24">
        <v>0</v>
      </c>
      <c r="DR24">
        <v>-320522.90304236242</v>
      </c>
    </row>
    <row r="25" spans="1:122">
      <c r="A25" s="192"/>
      <c r="B25" s="193"/>
      <c r="C25" s="168"/>
      <c r="D25" s="167"/>
      <c r="E25" s="168"/>
      <c r="F25" s="168"/>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c r="BB25" s="169"/>
      <c r="BC25" s="169"/>
      <c r="BD25" s="169"/>
      <c r="BE25" s="169"/>
      <c r="BF25" s="169"/>
      <c r="BG25" s="169"/>
      <c r="BH25" s="169"/>
      <c r="BI25" s="169"/>
      <c r="BJ25" s="169"/>
      <c r="BK25" s="169"/>
      <c r="BL25" s="169"/>
      <c r="BM25" s="169"/>
      <c r="BN25" s="169"/>
      <c r="BO25" s="169"/>
      <c r="BP25" s="169"/>
      <c r="BQ25" s="169"/>
      <c r="BR25" s="169"/>
      <c r="BS25" s="169"/>
      <c r="BT25" s="169"/>
      <c r="BU25" s="169"/>
      <c r="BV25" s="169"/>
      <c r="BW25" s="169"/>
      <c r="BX25" s="169"/>
      <c r="BY25" s="169"/>
      <c r="BZ25" s="169"/>
      <c r="CA25" s="169"/>
      <c r="CB25" s="169"/>
      <c r="CC25" s="169"/>
      <c r="CD25" s="169"/>
      <c r="CE25" s="168"/>
      <c r="CF25" s="166"/>
      <c r="CG25" s="166"/>
      <c r="CH25" s="166"/>
      <c r="CI25" s="166"/>
      <c r="CJ25" s="168"/>
      <c r="CK25">
        <v>0</v>
      </c>
      <c r="CL25">
        <v>0</v>
      </c>
      <c r="CM25">
        <v>0</v>
      </c>
      <c r="CN25">
        <v>0</v>
      </c>
      <c r="CO25">
        <v>0</v>
      </c>
      <c r="CP25">
        <v>0</v>
      </c>
      <c r="CQ25">
        <v>0</v>
      </c>
      <c r="CR25">
        <v>0</v>
      </c>
      <c r="CS25">
        <v>0</v>
      </c>
      <c r="CT25">
        <v>0</v>
      </c>
      <c r="CU25">
        <v>0</v>
      </c>
      <c r="CV25">
        <v>0</v>
      </c>
      <c r="CW25">
        <v>0</v>
      </c>
      <c r="CX25">
        <v>0</v>
      </c>
      <c r="CY25">
        <v>0</v>
      </c>
      <c r="CZ25">
        <v>0</v>
      </c>
      <c r="DA25">
        <v>0</v>
      </c>
      <c r="DB25">
        <v>0</v>
      </c>
      <c r="DC25">
        <v>0</v>
      </c>
      <c r="DD25">
        <v>0</v>
      </c>
      <c r="DE25">
        <v>0</v>
      </c>
      <c r="DF25">
        <v>0</v>
      </c>
      <c r="DG25">
        <v>0</v>
      </c>
      <c r="DH25">
        <v>0</v>
      </c>
      <c r="DI25">
        <v>0</v>
      </c>
      <c r="DJ25">
        <v>0</v>
      </c>
      <c r="DK25">
        <v>0</v>
      </c>
      <c r="DL25">
        <v>0</v>
      </c>
      <c r="DM25">
        <v>0</v>
      </c>
      <c r="DN25">
        <v>0</v>
      </c>
      <c r="DO25">
        <v>0</v>
      </c>
      <c r="DP25">
        <v>0</v>
      </c>
      <c r="DQ25">
        <v>0</v>
      </c>
      <c r="DR25">
        <v>206046.91363474145</v>
      </c>
    </row>
    <row r="26" spans="1:122">
      <c r="A26" s="192"/>
      <c r="B26" s="193"/>
      <c r="C26" s="168"/>
      <c r="D26" s="167"/>
      <c r="E26" s="168"/>
      <c r="F26" s="168"/>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69"/>
      <c r="BP26" s="169"/>
      <c r="BQ26" s="169"/>
      <c r="BR26" s="169"/>
      <c r="BS26" s="169"/>
      <c r="BT26" s="169"/>
      <c r="BU26" s="169"/>
      <c r="BV26" s="169"/>
      <c r="BW26" s="169"/>
      <c r="BX26" s="169"/>
      <c r="BY26" s="169"/>
      <c r="BZ26" s="169"/>
      <c r="CA26" s="169"/>
      <c r="CB26" s="169"/>
      <c r="CC26" s="169"/>
      <c r="CD26" s="169"/>
      <c r="CE26" s="168"/>
      <c r="CF26" s="166"/>
      <c r="CG26" s="166"/>
      <c r="CH26" s="166"/>
      <c r="CI26" s="166"/>
      <c r="CJ26" s="168"/>
      <c r="CK26">
        <v>0</v>
      </c>
      <c r="CL26">
        <v>0</v>
      </c>
      <c r="CM26">
        <v>0</v>
      </c>
      <c r="CN26">
        <v>0</v>
      </c>
      <c r="CO26">
        <v>0</v>
      </c>
      <c r="CP26">
        <v>0</v>
      </c>
      <c r="CQ26">
        <v>0</v>
      </c>
      <c r="CR26">
        <v>0</v>
      </c>
      <c r="CS26">
        <v>0</v>
      </c>
      <c r="CT26">
        <v>0</v>
      </c>
      <c r="CU26">
        <v>0</v>
      </c>
      <c r="CV26">
        <v>0</v>
      </c>
      <c r="CW26">
        <v>0</v>
      </c>
      <c r="CX26">
        <v>0</v>
      </c>
      <c r="CY26">
        <v>0</v>
      </c>
      <c r="CZ26">
        <v>0</v>
      </c>
      <c r="DA26">
        <v>0</v>
      </c>
      <c r="DB26">
        <v>0</v>
      </c>
      <c r="DC26">
        <v>0</v>
      </c>
      <c r="DD26">
        <v>0</v>
      </c>
      <c r="DE26">
        <v>0</v>
      </c>
      <c r="DF26">
        <v>0</v>
      </c>
      <c r="DG26">
        <v>0</v>
      </c>
      <c r="DH26">
        <v>0</v>
      </c>
      <c r="DI26">
        <v>0</v>
      </c>
      <c r="DJ26">
        <v>0</v>
      </c>
      <c r="DK26">
        <v>0</v>
      </c>
      <c r="DL26">
        <v>0</v>
      </c>
      <c r="DM26">
        <v>0</v>
      </c>
      <c r="DN26">
        <v>0</v>
      </c>
      <c r="DO26">
        <v>0</v>
      </c>
      <c r="DP26">
        <v>0</v>
      </c>
      <c r="DQ26">
        <v>0</v>
      </c>
      <c r="DR26">
        <v>291470.41982952226</v>
      </c>
    </row>
    <row r="27" spans="1:122">
      <c r="A27" s="192"/>
      <c r="B27" s="193"/>
      <c r="C27" s="168"/>
      <c r="D27" s="167"/>
      <c r="E27" s="168"/>
      <c r="F27" s="168"/>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8"/>
      <c r="CF27" s="166"/>
      <c r="CG27" s="166"/>
      <c r="CH27" s="166"/>
      <c r="CI27" s="166"/>
      <c r="CJ27" s="168"/>
      <c r="CK27">
        <v>0</v>
      </c>
      <c r="CL27">
        <v>0</v>
      </c>
      <c r="CM27">
        <v>0</v>
      </c>
      <c r="CN27">
        <v>0</v>
      </c>
      <c r="CO27">
        <v>0</v>
      </c>
      <c r="CP27">
        <v>0</v>
      </c>
      <c r="CQ27">
        <v>0</v>
      </c>
      <c r="CR27">
        <v>0</v>
      </c>
      <c r="CS27">
        <v>0</v>
      </c>
      <c r="CT27">
        <v>0</v>
      </c>
      <c r="CU27">
        <v>0</v>
      </c>
      <c r="CV27">
        <v>0</v>
      </c>
      <c r="CW27">
        <v>0</v>
      </c>
      <c r="CX27">
        <v>0</v>
      </c>
      <c r="CY27">
        <v>0</v>
      </c>
      <c r="CZ27">
        <v>0</v>
      </c>
      <c r="DA27">
        <v>0</v>
      </c>
      <c r="DB27">
        <v>0</v>
      </c>
      <c r="DC27">
        <v>0</v>
      </c>
      <c r="DD27">
        <v>0</v>
      </c>
      <c r="DE27">
        <v>0</v>
      </c>
      <c r="DF27">
        <v>0</v>
      </c>
      <c r="DG27">
        <v>0</v>
      </c>
      <c r="DH27">
        <v>0</v>
      </c>
      <c r="DI27">
        <v>0</v>
      </c>
      <c r="DJ27">
        <v>0</v>
      </c>
      <c r="DK27">
        <v>0</v>
      </c>
      <c r="DL27">
        <v>0</v>
      </c>
      <c r="DM27">
        <v>0</v>
      </c>
      <c r="DN27">
        <v>0</v>
      </c>
      <c r="DO27">
        <v>0</v>
      </c>
      <c r="DP27">
        <v>0</v>
      </c>
      <c r="DQ27">
        <v>0</v>
      </c>
      <c r="DR27">
        <v>125045.95411841624</v>
      </c>
    </row>
    <row r="28" spans="1:122">
      <c r="A28" s="192"/>
      <c r="B28" s="193"/>
      <c r="C28" s="168"/>
      <c r="D28" s="167"/>
      <c r="E28" s="168"/>
      <c r="F28" s="168"/>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8"/>
      <c r="CF28" s="166"/>
      <c r="CG28" s="166"/>
      <c r="CH28" s="166"/>
      <c r="CI28" s="166"/>
      <c r="CJ28" s="168"/>
      <c r="CK28">
        <v>0</v>
      </c>
      <c r="CL28">
        <v>0</v>
      </c>
      <c r="CM28">
        <v>0</v>
      </c>
      <c r="CN28">
        <v>0</v>
      </c>
      <c r="CO28">
        <v>0</v>
      </c>
      <c r="CP28">
        <v>0</v>
      </c>
      <c r="CQ28">
        <v>0</v>
      </c>
      <c r="CR28">
        <v>0</v>
      </c>
      <c r="CS28">
        <v>0</v>
      </c>
      <c r="CT28">
        <v>0</v>
      </c>
      <c r="CU28">
        <v>0</v>
      </c>
      <c r="CV28">
        <v>0</v>
      </c>
      <c r="CW28">
        <v>0</v>
      </c>
      <c r="CX28">
        <v>0</v>
      </c>
      <c r="CY28">
        <v>0</v>
      </c>
      <c r="CZ28">
        <v>0</v>
      </c>
      <c r="DA28">
        <v>0</v>
      </c>
      <c r="DB28">
        <v>0</v>
      </c>
      <c r="DC28">
        <v>0</v>
      </c>
      <c r="DD28">
        <v>0</v>
      </c>
      <c r="DE28">
        <v>0</v>
      </c>
      <c r="DF28">
        <v>0</v>
      </c>
      <c r="DG28">
        <v>0</v>
      </c>
      <c r="DH28">
        <v>0</v>
      </c>
      <c r="DI28">
        <v>0</v>
      </c>
      <c r="DJ28">
        <v>0</v>
      </c>
      <c r="DK28">
        <v>0</v>
      </c>
      <c r="DL28">
        <v>0</v>
      </c>
      <c r="DM28">
        <v>0</v>
      </c>
      <c r="DN28">
        <v>0</v>
      </c>
      <c r="DO28">
        <v>0</v>
      </c>
      <c r="DP28">
        <v>0</v>
      </c>
      <c r="DQ28">
        <v>0</v>
      </c>
      <c r="DR28">
        <v>3947.7506348695606</v>
      </c>
    </row>
    <row r="29" spans="1:122">
      <c r="A29" s="192"/>
      <c r="B29" s="193"/>
      <c r="C29" s="168"/>
      <c r="D29" s="167"/>
      <c r="E29" s="168"/>
      <c r="F29" s="168"/>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69"/>
      <c r="CC29" s="169"/>
      <c r="CD29" s="169"/>
      <c r="CE29" s="168"/>
      <c r="CF29" s="166"/>
      <c r="CG29" s="166"/>
      <c r="CH29" s="166"/>
      <c r="CI29" s="166"/>
      <c r="CJ29" s="168"/>
      <c r="CK29">
        <v>0</v>
      </c>
      <c r="CL29">
        <v>0</v>
      </c>
      <c r="CM29">
        <v>0</v>
      </c>
      <c r="CN29">
        <v>0</v>
      </c>
      <c r="CO29">
        <v>0</v>
      </c>
      <c r="CP29">
        <v>0</v>
      </c>
      <c r="CQ29">
        <v>0</v>
      </c>
      <c r="CR29">
        <v>0</v>
      </c>
      <c r="CS29">
        <v>0</v>
      </c>
      <c r="CT29">
        <v>0</v>
      </c>
      <c r="CU29">
        <v>0</v>
      </c>
      <c r="CV29">
        <v>0</v>
      </c>
      <c r="CW29">
        <v>0</v>
      </c>
      <c r="CX29">
        <v>0</v>
      </c>
      <c r="CY29">
        <v>0</v>
      </c>
      <c r="CZ29">
        <v>0</v>
      </c>
      <c r="DA29">
        <v>0</v>
      </c>
      <c r="DB29">
        <v>0</v>
      </c>
      <c r="DC29">
        <v>0</v>
      </c>
      <c r="DD29">
        <v>0</v>
      </c>
      <c r="DE29">
        <v>0</v>
      </c>
      <c r="DF29">
        <v>0</v>
      </c>
      <c r="DG29">
        <v>0</v>
      </c>
      <c r="DH29">
        <v>0</v>
      </c>
      <c r="DI29">
        <v>0</v>
      </c>
      <c r="DJ29">
        <v>0</v>
      </c>
      <c r="DK29">
        <v>0</v>
      </c>
      <c r="DL29">
        <v>0</v>
      </c>
      <c r="DM29">
        <v>0</v>
      </c>
      <c r="DN29">
        <v>0</v>
      </c>
      <c r="DO29">
        <v>0</v>
      </c>
      <c r="DP29">
        <v>0</v>
      </c>
      <c r="DQ29">
        <v>0</v>
      </c>
      <c r="DR29">
        <v>-193122.26454014608</v>
      </c>
    </row>
    <row r="30" spans="1:122">
      <c r="A30" s="192"/>
      <c r="B30" s="193"/>
      <c r="C30" s="168"/>
      <c r="D30" s="167"/>
      <c r="E30" s="168"/>
      <c r="F30" s="168"/>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8"/>
      <c r="CF30" s="166"/>
      <c r="CG30" s="166"/>
      <c r="CH30" s="166"/>
      <c r="CI30" s="166"/>
      <c r="CJ30" s="168"/>
      <c r="CK30">
        <v>0</v>
      </c>
      <c r="CL30">
        <v>0</v>
      </c>
      <c r="CM30">
        <v>0</v>
      </c>
      <c r="CN30">
        <v>0</v>
      </c>
      <c r="CO30">
        <v>0</v>
      </c>
      <c r="CP30">
        <v>0</v>
      </c>
      <c r="CQ30">
        <v>0</v>
      </c>
      <c r="CR30">
        <v>0</v>
      </c>
      <c r="CS30">
        <v>0</v>
      </c>
      <c r="CT30">
        <v>0</v>
      </c>
      <c r="CU30">
        <v>0</v>
      </c>
      <c r="CV30">
        <v>0</v>
      </c>
      <c r="CW30">
        <v>0</v>
      </c>
      <c r="CX30">
        <v>0</v>
      </c>
      <c r="CY30">
        <v>0</v>
      </c>
      <c r="CZ30">
        <v>0</v>
      </c>
      <c r="DA30">
        <v>0</v>
      </c>
      <c r="DB30">
        <v>0</v>
      </c>
      <c r="DC30">
        <v>0</v>
      </c>
      <c r="DD30">
        <v>0</v>
      </c>
      <c r="DE30">
        <v>0</v>
      </c>
      <c r="DF30">
        <v>0</v>
      </c>
      <c r="DG30">
        <v>0</v>
      </c>
      <c r="DH30">
        <v>0</v>
      </c>
      <c r="DI30">
        <v>0</v>
      </c>
      <c r="DJ30">
        <v>0</v>
      </c>
      <c r="DK30">
        <v>0</v>
      </c>
      <c r="DL30">
        <v>0</v>
      </c>
      <c r="DM30">
        <v>0</v>
      </c>
      <c r="DN30">
        <v>0</v>
      </c>
      <c r="DO30">
        <v>0</v>
      </c>
      <c r="DP30">
        <v>0</v>
      </c>
      <c r="DQ30">
        <v>0</v>
      </c>
      <c r="DR30">
        <v>67251.895533556584</v>
      </c>
    </row>
    <row r="31" spans="1:122">
      <c r="A31" s="192"/>
      <c r="B31" s="193"/>
      <c r="C31" s="168"/>
      <c r="D31" s="167"/>
      <c r="E31" s="168"/>
      <c r="F31" s="168"/>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8"/>
      <c r="CF31" s="166"/>
      <c r="CG31" s="166"/>
      <c r="CH31" s="166"/>
      <c r="CI31" s="166"/>
      <c r="CJ31" s="168"/>
      <c r="CK31">
        <v>0</v>
      </c>
      <c r="CL31">
        <v>0</v>
      </c>
      <c r="CM31">
        <v>0</v>
      </c>
      <c r="CN31">
        <v>0</v>
      </c>
      <c r="CO31">
        <v>0</v>
      </c>
      <c r="CP31">
        <v>0</v>
      </c>
      <c r="CQ31">
        <v>0</v>
      </c>
      <c r="CR31">
        <v>0</v>
      </c>
      <c r="CS31">
        <v>0</v>
      </c>
      <c r="CT31">
        <v>0</v>
      </c>
      <c r="CU31">
        <v>0</v>
      </c>
      <c r="CV31">
        <v>0</v>
      </c>
      <c r="CW31">
        <v>0</v>
      </c>
      <c r="CX31">
        <v>0</v>
      </c>
      <c r="CY31">
        <v>0</v>
      </c>
      <c r="CZ31">
        <v>0</v>
      </c>
      <c r="DA31">
        <v>0</v>
      </c>
      <c r="DB31">
        <v>0</v>
      </c>
      <c r="DC31">
        <v>0</v>
      </c>
      <c r="DD31">
        <v>0</v>
      </c>
      <c r="DE31">
        <v>0</v>
      </c>
      <c r="DF31">
        <v>0</v>
      </c>
      <c r="DG31">
        <v>0</v>
      </c>
      <c r="DH31">
        <v>0</v>
      </c>
      <c r="DI31">
        <v>0</v>
      </c>
      <c r="DJ31">
        <v>0</v>
      </c>
      <c r="DK31">
        <v>0</v>
      </c>
      <c r="DL31">
        <v>0</v>
      </c>
      <c r="DM31">
        <v>0</v>
      </c>
      <c r="DN31">
        <v>0</v>
      </c>
      <c r="DO31">
        <v>0</v>
      </c>
      <c r="DP31">
        <v>0</v>
      </c>
      <c r="DQ31">
        <v>0</v>
      </c>
      <c r="DR31">
        <v>141305.22999999818</v>
      </c>
    </row>
    <row r="32" spans="1:122">
      <c r="A32" s="192"/>
      <c r="B32" s="193"/>
      <c r="C32" s="168"/>
      <c r="D32" s="167"/>
      <c r="E32" s="168"/>
      <c r="F32" s="168"/>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69"/>
      <c r="BC32" s="169"/>
      <c r="BD32" s="169"/>
      <c r="BE32" s="169"/>
      <c r="BF32" s="169"/>
      <c r="BG32" s="169"/>
      <c r="BH32" s="169"/>
      <c r="BI32" s="169"/>
      <c r="BJ32" s="169"/>
      <c r="BK32" s="169"/>
      <c r="BL32" s="169"/>
      <c r="BM32" s="169"/>
      <c r="BN32" s="169"/>
      <c r="BO32" s="169"/>
      <c r="BP32" s="169"/>
      <c r="BQ32" s="169"/>
      <c r="BR32" s="169"/>
      <c r="BS32" s="169"/>
      <c r="BT32" s="169"/>
      <c r="BU32" s="169"/>
      <c r="BV32" s="169"/>
      <c r="BW32" s="169"/>
      <c r="BX32" s="169"/>
      <c r="BY32" s="169"/>
      <c r="BZ32" s="169"/>
      <c r="CA32" s="169"/>
      <c r="CB32" s="169"/>
      <c r="CC32" s="169"/>
      <c r="CD32" s="169"/>
      <c r="CE32" s="168"/>
      <c r="CF32" s="166"/>
      <c r="CG32" s="166"/>
      <c r="CH32" s="166"/>
      <c r="CI32" s="166"/>
      <c r="CJ32" s="168"/>
      <c r="CK32">
        <v>0</v>
      </c>
      <c r="CL32">
        <v>0</v>
      </c>
      <c r="CM32">
        <v>0</v>
      </c>
      <c r="CN32">
        <v>0</v>
      </c>
      <c r="CO32">
        <v>0</v>
      </c>
      <c r="CP32">
        <v>0</v>
      </c>
      <c r="CQ32">
        <v>0</v>
      </c>
      <c r="CR32">
        <v>0</v>
      </c>
      <c r="CS32">
        <v>0</v>
      </c>
      <c r="CT32">
        <v>0</v>
      </c>
      <c r="CU32">
        <v>0</v>
      </c>
      <c r="CV32">
        <v>0</v>
      </c>
      <c r="CW32">
        <v>0</v>
      </c>
      <c r="CX32">
        <v>0</v>
      </c>
      <c r="CY32">
        <v>0</v>
      </c>
      <c r="CZ32">
        <v>0</v>
      </c>
      <c r="DA32">
        <v>0</v>
      </c>
      <c r="DB32">
        <v>0</v>
      </c>
      <c r="DC32">
        <v>0</v>
      </c>
      <c r="DD32">
        <v>0</v>
      </c>
      <c r="DE32">
        <v>0</v>
      </c>
      <c r="DF32">
        <v>0</v>
      </c>
      <c r="DG32">
        <v>0</v>
      </c>
      <c r="DH32">
        <v>0</v>
      </c>
      <c r="DI32">
        <v>0</v>
      </c>
      <c r="DJ32">
        <v>0</v>
      </c>
      <c r="DK32">
        <v>0</v>
      </c>
      <c r="DL32">
        <v>0</v>
      </c>
      <c r="DM32">
        <v>0</v>
      </c>
      <c r="DN32">
        <v>0</v>
      </c>
      <c r="DO32">
        <v>0</v>
      </c>
      <c r="DP32">
        <v>0</v>
      </c>
      <c r="DQ32">
        <v>0</v>
      </c>
      <c r="DR32">
        <v>111455.7821381824</v>
      </c>
    </row>
    <row r="33" spans="1:122">
      <c r="A33" s="192"/>
      <c r="B33" s="193"/>
      <c r="C33" s="168"/>
      <c r="D33" s="167"/>
      <c r="E33" s="168"/>
      <c r="F33" s="168"/>
      <c r="G33" s="169"/>
      <c r="H33" s="169"/>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69"/>
      <c r="BC33" s="169"/>
      <c r="BD33" s="169"/>
      <c r="BE33" s="169"/>
      <c r="BF33" s="169"/>
      <c r="BG33" s="169"/>
      <c r="BH33" s="169"/>
      <c r="BI33" s="169"/>
      <c r="BJ33" s="169"/>
      <c r="BK33" s="169"/>
      <c r="BL33" s="169"/>
      <c r="BM33" s="169"/>
      <c r="BN33" s="169"/>
      <c r="BO33" s="169"/>
      <c r="BP33" s="169"/>
      <c r="BQ33" s="169"/>
      <c r="BR33" s="169"/>
      <c r="BS33" s="169"/>
      <c r="BT33" s="169"/>
      <c r="BU33" s="169"/>
      <c r="BV33" s="169"/>
      <c r="BW33" s="169"/>
      <c r="BX33" s="169"/>
      <c r="BY33" s="169"/>
      <c r="BZ33" s="169"/>
      <c r="CA33" s="169"/>
      <c r="CB33" s="169"/>
      <c r="CC33" s="169"/>
      <c r="CD33" s="169"/>
      <c r="CE33" s="168"/>
      <c r="CF33" s="166"/>
      <c r="CG33" s="166"/>
      <c r="CH33" s="166"/>
      <c r="CI33" s="166"/>
      <c r="CJ33" s="168"/>
      <c r="CK33">
        <v>0</v>
      </c>
      <c r="CL33">
        <v>0</v>
      </c>
      <c r="CM33">
        <v>0</v>
      </c>
      <c r="CN33">
        <v>0</v>
      </c>
      <c r="CO33">
        <v>0</v>
      </c>
      <c r="CP33">
        <v>0</v>
      </c>
      <c r="CQ33">
        <v>0</v>
      </c>
      <c r="CR33">
        <v>0</v>
      </c>
      <c r="CS33">
        <v>0</v>
      </c>
      <c r="CT33">
        <v>0</v>
      </c>
      <c r="CU33">
        <v>0</v>
      </c>
      <c r="CV33">
        <v>0</v>
      </c>
      <c r="CW33">
        <v>0</v>
      </c>
      <c r="CX33">
        <v>0</v>
      </c>
      <c r="CY33">
        <v>0</v>
      </c>
      <c r="CZ33">
        <v>0</v>
      </c>
      <c r="DA33">
        <v>0</v>
      </c>
      <c r="DB33">
        <v>0</v>
      </c>
      <c r="DC33">
        <v>0</v>
      </c>
      <c r="DD33">
        <v>0</v>
      </c>
      <c r="DE33">
        <v>0</v>
      </c>
      <c r="DF33">
        <v>0</v>
      </c>
      <c r="DG33">
        <v>0</v>
      </c>
      <c r="DH33">
        <v>0</v>
      </c>
      <c r="DI33">
        <v>0</v>
      </c>
      <c r="DJ33">
        <v>0</v>
      </c>
      <c r="DK33">
        <v>0</v>
      </c>
      <c r="DL33">
        <v>0</v>
      </c>
      <c r="DM33">
        <v>0</v>
      </c>
      <c r="DN33">
        <v>0</v>
      </c>
      <c r="DO33">
        <v>0</v>
      </c>
      <c r="DP33">
        <v>0</v>
      </c>
      <c r="DQ33">
        <v>0</v>
      </c>
      <c r="DR33">
        <v>327263.7647397212</v>
      </c>
    </row>
    <row r="34" spans="1:122">
      <c r="A34" s="192"/>
      <c r="B34" s="193"/>
      <c r="C34" s="168"/>
      <c r="D34" s="167"/>
      <c r="E34" s="168"/>
      <c r="F34" s="168"/>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69"/>
      <c r="BC34" s="169"/>
      <c r="BD34" s="169"/>
      <c r="BE34" s="169"/>
      <c r="BF34" s="169"/>
      <c r="BG34" s="169"/>
      <c r="BH34" s="169"/>
      <c r="BI34" s="169"/>
      <c r="BJ34" s="169"/>
      <c r="BK34" s="169"/>
      <c r="BL34" s="169"/>
      <c r="BM34" s="169"/>
      <c r="BN34" s="169"/>
      <c r="BO34" s="169"/>
      <c r="BP34" s="169"/>
      <c r="BQ34" s="169"/>
      <c r="BR34" s="169"/>
      <c r="BS34" s="169"/>
      <c r="BT34" s="169"/>
      <c r="BU34" s="169"/>
      <c r="BV34" s="169"/>
      <c r="BW34" s="169"/>
      <c r="BX34" s="169"/>
      <c r="BY34" s="169"/>
      <c r="BZ34" s="169"/>
      <c r="CA34" s="169"/>
      <c r="CB34" s="169"/>
      <c r="CC34" s="169"/>
      <c r="CD34" s="169"/>
      <c r="CE34" s="168"/>
      <c r="CF34" s="166"/>
      <c r="CG34" s="166"/>
      <c r="CH34" s="166"/>
      <c r="CI34" s="166"/>
      <c r="CJ34" s="168"/>
      <c r="CK34">
        <v>0</v>
      </c>
      <c r="CL34">
        <v>0</v>
      </c>
      <c r="CM34">
        <v>0</v>
      </c>
      <c r="CN34">
        <v>0</v>
      </c>
      <c r="CO34">
        <v>0</v>
      </c>
      <c r="CP34">
        <v>0</v>
      </c>
      <c r="CQ34">
        <v>0</v>
      </c>
      <c r="CR34">
        <v>0</v>
      </c>
      <c r="CS34">
        <v>0</v>
      </c>
      <c r="CT34">
        <v>0</v>
      </c>
      <c r="CU34">
        <v>0</v>
      </c>
      <c r="CV34">
        <v>0</v>
      </c>
      <c r="CW34">
        <v>0</v>
      </c>
      <c r="CX34">
        <v>0</v>
      </c>
      <c r="CY34">
        <v>0</v>
      </c>
      <c r="CZ34">
        <v>0</v>
      </c>
      <c r="DA34">
        <v>0</v>
      </c>
      <c r="DB34">
        <v>0</v>
      </c>
      <c r="DC34">
        <v>0</v>
      </c>
      <c r="DD34">
        <v>0</v>
      </c>
      <c r="DE34">
        <v>0</v>
      </c>
      <c r="DF34">
        <v>0</v>
      </c>
      <c r="DG34">
        <v>0</v>
      </c>
      <c r="DH34">
        <v>0</v>
      </c>
      <c r="DI34">
        <v>0</v>
      </c>
      <c r="DJ34">
        <v>0</v>
      </c>
      <c r="DK34">
        <v>0</v>
      </c>
      <c r="DL34">
        <v>0</v>
      </c>
      <c r="DM34">
        <v>0</v>
      </c>
      <c r="DN34">
        <v>0</v>
      </c>
      <c r="DO34">
        <v>0</v>
      </c>
      <c r="DP34">
        <v>0</v>
      </c>
      <c r="DQ34">
        <v>0</v>
      </c>
      <c r="DR34">
        <v>195494.43734568637</v>
      </c>
    </row>
    <row r="35" spans="1:122">
      <c r="A35" s="192"/>
      <c r="B35" s="193"/>
      <c r="C35" s="168"/>
      <c r="D35" s="167"/>
      <c r="E35" s="168"/>
      <c r="F35" s="168"/>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69"/>
      <c r="BF35" s="169"/>
      <c r="BG35" s="169"/>
      <c r="BH35" s="169"/>
      <c r="BI35" s="169"/>
      <c r="BJ35" s="169"/>
      <c r="BK35" s="169"/>
      <c r="BL35" s="169"/>
      <c r="BM35" s="169"/>
      <c r="BN35" s="169"/>
      <c r="BO35" s="169"/>
      <c r="BP35" s="169"/>
      <c r="BQ35" s="169"/>
      <c r="BR35" s="169"/>
      <c r="BS35" s="169"/>
      <c r="BT35" s="169"/>
      <c r="BU35" s="169"/>
      <c r="BV35" s="169"/>
      <c r="BW35" s="169"/>
      <c r="BX35" s="169"/>
      <c r="BY35" s="169"/>
      <c r="BZ35" s="169"/>
      <c r="CA35" s="169"/>
      <c r="CB35" s="169"/>
      <c r="CC35" s="169"/>
      <c r="CD35" s="169"/>
      <c r="CE35" s="168"/>
      <c r="CF35" s="166"/>
      <c r="CG35" s="166"/>
      <c r="CH35" s="166"/>
      <c r="CI35" s="166"/>
      <c r="CJ35" s="168"/>
      <c r="CK35">
        <v>0</v>
      </c>
      <c r="CL35">
        <v>0</v>
      </c>
      <c r="CM35">
        <v>0</v>
      </c>
      <c r="CN35">
        <v>0</v>
      </c>
      <c r="CO35">
        <v>0</v>
      </c>
      <c r="CP35">
        <v>0</v>
      </c>
      <c r="CQ35">
        <v>0</v>
      </c>
      <c r="CR35">
        <v>0</v>
      </c>
      <c r="CS35">
        <v>0</v>
      </c>
      <c r="CT35">
        <v>0</v>
      </c>
      <c r="CU35">
        <v>0</v>
      </c>
      <c r="CV35">
        <v>0</v>
      </c>
      <c r="CW35">
        <v>0</v>
      </c>
      <c r="CX35">
        <v>0</v>
      </c>
      <c r="CY35">
        <v>0</v>
      </c>
      <c r="CZ35">
        <v>0</v>
      </c>
      <c r="DA35">
        <v>0</v>
      </c>
      <c r="DB35">
        <v>0</v>
      </c>
      <c r="DC35">
        <v>0</v>
      </c>
      <c r="DD35">
        <v>0</v>
      </c>
      <c r="DE35">
        <v>0</v>
      </c>
      <c r="DF35">
        <v>0</v>
      </c>
      <c r="DG35">
        <v>0</v>
      </c>
      <c r="DH35">
        <v>0</v>
      </c>
      <c r="DI35">
        <v>0</v>
      </c>
      <c r="DJ35">
        <v>0</v>
      </c>
      <c r="DK35">
        <v>0</v>
      </c>
      <c r="DL35">
        <v>0</v>
      </c>
      <c r="DM35">
        <v>0</v>
      </c>
      <c r="DN35">
        <v>0</v>
      </c>
      <c r="DO35">
        <v>0</v>
      </c>
      <c r="DP35">
        <v>0</v>
      </c>
      <c r="DQ35">
        <v>0</v>
      </c>
      <c r="DR35">
        <v>61509.480484007858</v>
      </c>
    </row>
    <row r="36" spans="1:122">
      <c r="A36" s="192"/>
      <c r="B36" s="193"/>
      <c r="C36" s="168"/>
      <c r="D36" s="167"/>
      <c r="E36" s="168"/>
      <c r="F36" s="168"/>
      <c r="G36" s="169"/>
      <c r="H36" s="169"/>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c r="AW36" s="169"/>
      <c r="AX36" s="169"/>
      <c r="AY36" s="169"/>
      <c r="AZ36" s="169"/>
      <c r="BA36" s="169"/>
      <c r="BB36" s="169"/>
      <c r="BC36" s="169"/>
      <c r="BD36" s="169"/>
      <c r="BE36" s="169"/>
      <c r="BF36" s="169"/>
      <c r="BG36" s="169"/>
      <c r="BH36" s="169"/>
      <c r="BI36" s="169"/>
      <c r="BJ36" s="169"/>
      <c r="BK36" s="169"/>
      <c r="BL36" s="169"/>
      <c r="BM36" s="169"/>
      <c r="BN36" s="169"/>
      <c r="BO36" s="169"/>
      <c r="BP36" s="169"/>
      <c r="BQ36" s="169"/>
      <c r="BR36" s="169"/>
      <c r="BS36" s="169"/>
      <c r="BT36" s="169"/>
      <c r="BU36" s="169"/>
      <c r="BV36" s="169"/>
      <c r="BW36" s="169"/>
      <c r="BX36" s="169"/>
      <c r="BY36" s="169"/>
      <c r="BZ36" s="169"/>
      <c r="CA36" s="169"/>
      <c r="CB36" s="169"/>
      <c r="CC36" s="169"/>
      <c r="CD36" s="169"/>
      <c r="CE36" s="168"/>
      <c r="CF36" s="166"/>
      <c r="CG36" s="166"/>
      <c r="CH36" s="166"/>
      <c r="CI36" s="166"/>
      <c r="CJ36" s="168"/>
      <c r="CK36">
        <v>0</v>
      </c>
      <c r="CL36">
        <v>0</v>
      </c>
      <c r="CM36">
        <v>0</v>
      </c>
      <c r="CN36">
        <v>0</v>
      </c>
      <c r="CO36">
        <v>0</v>
      </c>
      <c r="CP36">
        <v>0</v>
      </c>
      <c r="CQ36">
        <v>0</v>
      </c>
      <c r="CR36">
        <v>0</v>
      </c>
      <c r="CS36">
        <v>0</v>
      </c>
      <c r="CT36">
        <v>0</v>
      </c>
      <c r="CU36">
        <v>0</v>
      </c>
      <c r="CV36">
        <v>0</v>
      </c>
      <c r="CW36">
        <v>0</v>
      </c>
      <c r="CX36">
        <v>0</v>
      </c>
      <c r="CY36">
        <v>0</v>
      </c>
      <c r="CZ36">
        <v>0</v>
      </c>
      <c r="DA36">
        <v>0</v>
      </c>
      <c r="DB36">
        <v>0</v>
      </c>
      <c r="DC36">
        <v>0</v>
      </c>
      <c r="DD36">
        <v>0</v>
      </c>
      <c r="DE36">
        <v>0</v>
      </c>
      <c r="DF36">
        <v>0</v>
      </c>
      <c r="DG36">
        <v>0</v>
      </c>
      <c r="DH36">
        <v>0</v>
      </c>
      <c r="DI36">
        <v>0</v>
      </c>
      <c r="DJ36">
        <v>0</v>
      </c>
      <c r="DK36">
        <v>0</v>
      </c>
      <c r="DL36">
        <v>0</v>
      </c>
      <c r="DM36">
        <v>0</v>
      </c>
      <c r="DN36">
        <v>0</v>
      </c>
      <c r="DO36">
        <v>0</v>
      </c>
      <c r="DP36">
        <v>0</v>
      </c>
      <c r="DQ36">
        <v>0</v>
      </c>
      <c r="DR36">
        <v>1544164.7307621108</v>
      </c>
    </row>
    <row r="37" spans="1:122">
      <c r="A37" s="192"/>
      <c r="B37" s="193"/>
      <c r="C37" s="168"/>
      <c r="D37" s="167"/>
      <c r="E37" s="168"/>
      <c r="F37" s="168"/>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c r="AW37" s="169"/>
      <c r="AX37" s="169"/>
      <c r="AY37" s="169"/>
      <c r="AZ37" s="169"/>
      <c r="BA37" s="169"/>
      <c r="BB37" s="169"/>
      <c r="BC37" s="169"/>
      <c r="BD37" s="169"/>
      <c r="BE37" s="169"/>
      <c r="BF37" s="169"/>
      <c r="BG37" s="169"/>
      <c r="BH37" s="169"/>
      <c r="BI37" s="169"/>
      <c r="BJ37" s="169"/>
      <c r="BK37" s="169"/>
      <c r="BL37" s="169"/>
      <c r="BM37" s="169"/>
      <c r="BN37" s="169"/>
      <c r="BO37" s="169"/>
      <c r="BP37" s="169"/>
      <c r="BQ37" s="169"/>
      <c r="BR37" s="169"/>
      <c r="BS37" s="169"/>
      <c r="BT37" s="169"/>
      <c r="BU37" s="169"/>
      <c r="BV37" s="169"/>
      <c r="BW37" s="169"/>
      <c r="BX37" s="169"/>
      <c r="BY37" s="169"/>
      <c r="BZ37" s="169"/>
      <c r="CA37" s="169"/>
      <c r="CB37" s="169"/>
      <c r="CC37" s="169"/>
      <c r="CD37" s="169"/>
      <c r="CE37" s="168"/>
      <c r="CF37" s="166"/>
      <c r="CG37" s="166"/>
      <c r="CH37" s="166"/>
      <c r="CI37" s="166"/>
      <c r="CJ37" s="168"/>
      <c r="CK37">
        <v>0</v>
      </c>
      <c r="CL37">
        <v>0</v>
      </c>
      <c r="CM37">
        <v>0</v>
      </c>
      <c r="CN37">
        <v>0</v>
      </c>
      <c r="CO37">
        <v>0</v>
      </c>
      <c r="CP37">
        <v>0</v>
      </c>
      <c r="CQ37">
        <v>0</v>
      </c>
      <c r="CR37">
        <v>0</v>
      </c>
      <c r="CS37">
        <v>0</v>
      </c>
      <c r="CT37">
        <v>0</v>
      </c>
      <c r="CU37">
        <v>0</v>
      </c>
      <c r="CV37">
        <v>0</v>
      </c>
      <c r="CW37">
        <v>0</v>
      </c>
      <c r="CX37">
        <v>0</v>
      </c>
      <c r="CY37">
        <v>0</v>
      </c>
      <c r="CZ37">
        <v>0</v>
      </c>
      <c r="DA37">
        <v>0</v>
      </c>
      <c r="DB37">
        <v>0</v>
      </c>
      <c r="DC37">
        <v>0</v>
      </c>
      <c r="DD37">
        <v>0</v>
      </c>
      <c r="DE37">
        <v>0</v>
      </c>
      <c r="DF37">
        <v>0</v>
      </c>
      <c r="DG37">
        <v>0</v>
      </c>
      <c r="DH37">
        <v>0</v>
      </c>
      <c r="DI37">
        <v>0</v>
      </c>
      <c r="DJ37">
        <v>0</v>
      </c>
      <c r="DK37">
        <v>0</v>
      </c>
      <c r="DL37">
        <v>0</v>
      </c>
      <c r="DM37">
        <v>0</v>
      </c>
      <c r="DN37">
        <v>0</v>
      </c>
      <c r="DO37">
        <v>0</v>
      </c>
      <c r="DP37">
        <v>0</v>
      </c>
      <c r="DQ37">
        <v>0</v>
      </c>
      <c r="DR37">
        <v>67465.685879143886</v>
      </c>
    </row>
    <row r="38" spans="1:122">
      <c r="A38" s="192"/>
      <c r="B38" s="193"/>
      <c r="C38" s="168"/>
      <c r="D38" s="167"/>
      <c r="E38" s="168"/>
      <c r="F38" s="168"/>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c r="BP38" s="169"/>
      <c r="BQ38" s="169"/>
      <c r="BR38" s="169"/>
      <c r="BS38" s="169"/>
      <c r="BT38" s="169"/>
      <c r="BU38" s="169"/>
      <c r="BV38" s="169"/>
      <c r="BW38" s="169"/>
      <c r="BX38" s="169"/>
      <c r="BY38" s="169"/>
      <c r="BZ38" s="169"/>
      <c r="CA38" s="169"/>
      <c r="CB38" s="169"/>
      <c r="CC38" s="169"/>
      <c r="CD38" s="169"/>
      <c r="CE38" s="168"/>
      <c r="CF38" s="166"/>
      <c r="CG38" s="166"/>
      <c r="CH38" s="166"/>
      <c r="CI38" s="166"/>
      <c r="CJ38" s="168"/>
      <c r="CK38">
        <v>0</v>
      </c>
      <c r="CL38">
        <v>0</v>
      </c>
      <c r="CM38">
        <v>0</v>
      </c>
      <c r="CN38">
        <v>0</v>
      </c>
      <c r="CO38">
        <v>0</v>
      </c>
      <c r="CP38">
        <v>0</v>
      </c>
      <c r="CQ38">
        <v>0</v>
      </c>
      <c r="CR38">
        <v>0</v>
      </c>
      <c r="CS38">
        <v>0</v>
      </c>
      <c r="CT38">
        <v>0</v>
      </c>
      <c r="CU38">
        <v>0</v>
      </c>
      <c r="CV38">
        <v>0</v>
      </c>
      <c r="CW38">
        <v>0</v>
      </c>
      <c r="CX38">
        <v>0</v>
      </c>
      <c r="CY38">
        <v>0</v>
      </c>
      <c r="CZ38">
        <v>0</v>
      </c>
      <c r="DA38">
        <v>0</v>
      </c>
      <c r="DB38">
        <v>0</v>
      </c>
      <c r="DC38">
        <v>0</v>
      </c>
      <c r="DD38">
        <v>0</v>
      </c>
      <c r="DE38">
        <v>0</v>
      </c>
      <c r="DF38">
        <v>0</v>
      </c>
      <c r="DG38">
        <v>0</v>
      </c>
      <c r="DH38">
        <v>0</v>
      </c>
      <c r="DI38">
        <v>0</v>
      </c>
      <c r="DJ38">
        <v>0</v>
      </c>
      <c r="DK38">
        <v>0</v>
      </c>
      <c r="DL38">
        <v>0</v>
      </c>
      <c r="DM38">
        <v>0</v>
      </c>
      <c r="DN38">
        <v>0</v>
      </c>
      <c r="DO38">
        <v>0</v>
      </c>
      <c r="DP38">
        <v>0</v>
      </c>
      <c r="DQ38">
        <v>0</v>
      </c>
      <c r="DR38">
        <v>217561.1579093528</v>
      </c>
    </row>
    <row r="39" spans="1:122">
      <c r="A39" s="192"/>
      <c r="B39" s="193"/>
      <c r="C39" s="168"/>
      <c r="D39" s="167"/>
      <c r="E39" s="168"/>
      <c r="F39" s="168"/>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c r="AW39" s="169"/>
      <c r="AX39" s="169"/>
      <c r="AY39" s="169"/>
      <c r="AZ39" s="169"/>
      <c r="BA39" s="169"/>
      <c r="BB39" s="169"/>
      <c r="BC39" s="169"/>
      <c r="BD39" s="169"/>
      <c r="BE39" s="169"/>
      <c r="BF39" s="169"/>
      <c r="BG39" s="169"/>
      <c r="BH39" s="169"/>
      <c r="BI39" s="169"/>
      <c r="BJ39" s="169"/>
      <c r="BK39" s="169"/>
      <c r="BL39" s="169"/>
      <c r="BM39" s="169"/>
      <c r="BN39" s="169"/>
      <c r="BO39" s="169"/>
      <c r="BP39" s="169"/>
      <c r="BQ39" s="169"/>
      <c r="BR39" s="169"/>
      <c r="BS39" s="169"/>
      <c r="BT39" s="169"/>
      <c r="BU39" s="169"/>
      <c r="BV39" s="169"/>
      <c r="BW39" s="169"/>
      <c r="BX39" s="169"/>
      <c r="BY39" s="169"/>
      <c r="BZ39" s="169"/>
      <c r="CA39" s="169"/>
      <c r="CB39" s="169"/>
      <c r="CC39" s="169"/>
      <c r="CD39" s="169"/>
      <c r="CE39" s="168"/>
      <c r="CF39" s="166"/>
      <c r="CG39" s="166"/>
      <c r="CH39" s="166"/>
      <c r="CI39" s="166"/>
      <c r="CJ39" s="168"/>
      <c r="CK39">
        <v>0</v>
      </c>
      <c r="CL39">
        <v>0</v>
      </c>
      <c r="CM39">
        <v>0</v>
      </c>
      <c r="CN39">
        <v>0</v>
      </c>
      <c r="CO39">
        <v>0</v>
      </c>
      <c r="CP39">
        <v>0</v>
      </c>
      <c r="CQ39">
        <v>0</v>
      </c>
      <c r="CR39">
        <v>0</v>
      </c>
      <c r="CS39">
        <v>0</v>
      </c>
      <c r="CT39">
        <v>0</v>
      </c>
      <c r="CU39">
        <v>0</v>
      </c>
      <c r="CV39">
        <v>0</v>
      </c>
      <c r="CW39">
        <v>0</v>
      </c>
      <c r="CX39">
        <v>0</v>
      </c>
      <c r="CY39">
        <v>0</v>
      </c>
      <c r="CZ39">
        <v>0</v>
      </c>
      <c r="DA39">
        <v>0</v>
      </c>
      <c r="DB39">
        <v>0</v>
      </c>
      <c r="DC39">
        <v>0</v>
      </c>
      <c r="DD39">
        <v>0</v>
      </c>
      <c r="DE39">
        <v>0</v>
      </c>
      <c r="DF39">
        <v>0</v>
      </c>
      <c r="DG39">
        <v>0</v>
      </c>
      <c r="DH39">
        <v>0</v>
      </c>
      <c r="DI39">
        <v>0</v>
      </c>
      <c r="DJ39">
        <v>0</v>
      </c>
      <c r="DK39">
        <v>0</v>
      </c>
      <c r="DL39">
        <v>0</v>
      </c>
      <c r="DM39">
        <v>0</v>
      </c>
      <c r="DN39">
        <v>0</v>
      </c>
      <c r="DO39">
        <v>0</v>
      </c>
      <c r="DP39">
        <v>0</v>
      </c>
      <c r="DQ39">
        <v>0</v>
      </c>
      <c r="DR39">
        <v>718226.73809133493</v>
      </c>
    </row>
    <row r="40" spans="1:122">
      <c r="A40" s="192"/>
      <c r="B40" s="193"/>
      <c r="C40" s="168"/>
      <c r="D40" s="167"/>
      <c r="E40" s="168"/>
      <c r="F40" s="168"/>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c r="AW40" s="169"/>
      <c r="AX40" s="169"/>
      <c r="AY40" s="169"/>
      <c r="AZ40" s="169"/>
      <c r="BA40" s="169"/>
      <c r="BB40" s="169"/>
      <c r="BC40" s="169"/>
      <c r="BD40" s="169"/>
      <c r="BE40" s="169"/>
      <c r="BF40" s="169"/>
      <c r="BG40" s="169"/>
      <c r="BH40" s="169"/>
      <c r="BI40" s="169"/>
      <c r="BJ40" s="169"/>
      <c r="BK40" s="169"/>
      <c r="BL40" s="169"/>
      <c r="BM40" s="169"/>
      <c r="BN40" s="169"/>
      <c r="BO40" s="169"/>
      <c r="BP40" s="169"/>
      <c r="BQ40" s="169"/>
      <c r="BR40" s="169"/>
      <c r="BS40" s="169"/>
      <c r="BT40" s="169"/>
      <c r="BU40" s="169"/>
      <c r="BV40" s="169"/>
      <c r="BW40" s="169"/>
      <c r="BX40" s="169"/>
      <c r="BY40" s="169"/>
      <c r="BZ40" s="169"/>
      <c r="CA40" s="169"/>
      <c r="CB40" s="169"/>
      <c r="CC40" s="169"/>
      <c r="CD40" s="169"/>
      <c r="CE40" s="168"/>
      <c r="CF40" s="166"/>
      <c r="CG40" s="166"/>
      <c r="CH40" s="166"/>
      <c r="CI40" s="166"/>
      <c r="CJ40" s="168"/>
      <c r="CK40">
        <v>0</v>
      </c>
      <c r="CL40">
        <v>0</v>
      </c>
      <c r="CM40">
        <v>0</v>
      </c>
      <c r="CN40">
        <v>0</v>
      </c>
      <c r="CO40">
        <v>0</v>
      </c>
      <c r="CP40">
        <v>0</v>
      </c>
      <c r="CQ40">
        <v>0</v>
      </c>
      <c r="CR40">
        <v>0</v>
      </c>
      <c r="CS40">
        <v>0</v>
      </c>
      <c r="CT40">
        <v>0</v>
      </c>
      <c r="CU40">
        <v>0</v>
      </c>
      <c r="CV40">
        <v>0</v>
      </c>
      <c r="CW40">
        <v>0</v>
      </c>
      <c r="CX40">
        <v>0</v>
      </c>
      <c r="CY40">
        <v>0</v>
      </c>
      <c r="CZ40">
        <v>0</v>
      </c>
      <c r="DA40">
        <v>0</v>
      </c>
      <c r="DB40">
        <v>0</v>
      </c>
      <c r="DC40">
        <v>0</v>
      </c>
      <c r="DD40">
        <v>0</v>
      </c>
      <c r="DE40">
        <v>0</v>
      </c>
      <c r="DF40">
        <v>0</v>
      </c>
      <c r="DG40">
        <v>0</v>
      </c>
      <c r="DH40">
        <v>0</v>
      </c>
      <c r="DI40">
        <v>0</v>
      </c>
      <c r="DJ40">
        <v>0</v>
      </c>
      <c r="DK40">
        <v>0</v>
      </c>
      <c r="DL40">
        <v>0</v>
      </c>
      <c r="DM40">
        <v>0</v>
      </c>
      <c r="DN40">
        <v>0</v>
      </c>
      <c r="DO40">
        <v>0</v>
      </c>
      <c r="DP40">
        <v>0</v>
      </c>
      <c r="DQ40">
        <v>0</v>
      </c>
      <c r="DR40">
        <v>67156.343604426482</v>
      </c>
    </row>
    <row r="41" spans="1:122">
      <c r="A41" s="192"/>
      <c r="B41" s="193"/>
      <c r="C41" s="168"/>
      <c r="D41" s="167"/>
      <c r="E41" s="168"/>
      <c r="F41" s="168"/>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69"/>
      <c r="BB41" s="169"/>
      <c r="BC41" s="169"/>
      <c r="BD41" s="169"/>
      <c r="BE41" s="169"/>
      <c r="BF41" s="169"/>
      <c r="BG41" s="169"/>
      <c r="BH41" s="169"/>
      <c r="BI41" s="169"/>
      <c r="BJ41" s="169"/>
      <c r="BK41" s="169"/>
      <c r="BL41" s="169"/>
      <c r="BM41" s="169"/>
      <c r="BN41" s="169"/>
      <c r="BO41" s="169"/>
      <c r="BP41" s="169"/>
      <c r="BQ41" s="169"/>
      <c r="BR41" s="169"/>
      <c r="BS41" s="169"/>
      <c r="BT41" s="169"/>
      <c r="BU41" s="169"/>
      <c r="BV41" s="169"/>
      <c r="BW41" s="169"/>
      <c r="BX41" s="169"/>
      <c r="BY41" s="169"/>
      <c r="BZ41" s="169"/>
      <c r="CA41" s="169"/>
      <c r="CB41" s="169"/>
      <c r="CC41" s="169"/>
      <c r="CD41" s="169"/>
      <c r="CE41" s="168"/>
      <c r="CF41" s="166"/>
      <c r="CG41" s="166"/>
      <c r="CH41" s="166"/>
      <c r="CI41" s="166"/>
      <c r="CJ41" s="168"/>
      <c r="CK41">
        <v>0</v>
      </c>
      <c r="CL41">
        <v>0</v>
      </c>
      <c r="CM41">
        <v>0</v>
      </c>
      <c r="CN41">
        <v>0</v>
      </c>
      <c r="CO41">
        <v>0</v>
      </c>
      <c r="CP41">
        <v>0</v>
      </c>
      <c r="CQ41">
        <v>0</v>
      </c>
      <c r="CR41">
        <v>0</v>
      </c>
      <c r="CS41">
        <v>0</v>
      </c>
      <c r="CT41">
        <v>0</v>
      </c>
      <c r="CU41">
        <v>0</v>
      </c>
      <c r="CV41">
        <v>0</v>
      </c>
      <c r="CW41">
        <v>0</v>
      </c>
      <c r="CX41">
        <v>0</v>
      </c>
      <c r="CY41">
        <v>0</v>
      </c>
      <c r="CZ41">
        <v>0</v>
      </c>
      <c r="DA41">
        <v>0</v>
      </c>
      <c r="DB41">
        <v>0</v>
      </c>
      <c r="DC41">
        <v>0</v>
      </c>
      <c r="DD41">
        <v>0</v>
      </c>
      <c r="DE41">
        <v>0</v>
      </c>
      <c r="DF41">
        <v>0</v>
      </c>
      <c r="DG41">
        <v>0</v>
      </c>
      <c r="DH41">
        <v>0</v>
      </c>
      <c r="DI41">
        <v>0</v>
      </c>
      <c r="DJ41">
        <v>0</v>
      </c>
      <c r="DK41">
        <v>0</v>
      </c>
      <c r="DL41">
        <v>0</v>
      </c>
      <c r="DM41">
        <v>0</v>
      </c>
      <c r="DN41">
        <v>0</v>
      </c>
      <c r="DO41">
        <v>0</v>
      </c>
      <c r="DP41">
        <v>0</v>
      </c>
      <c r="DQ41">
        <v>0</v>
      </c>
      <c r="DR41">
        <v>464513.60537320399</v>
      </c>
    </row>
    <row r="42" spans="1:122">
      <c r="A42" s="192"/>
      <c r="B42" s="193"/>
      <c r="C42" s="168"/>
      <c r="D42" s="167"/>
      <c r="E42" s="168"/>
      <c r="F42" s="168"/>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169"/>
      <c r="AX42" s="169"/>
      <c r="AY42" s="169"/>
      <c r="AZ42" s="169"/>
      <c r="BA42" s="169"/>
      <c r="BB42" s="169"/>
      <c r="BC42" s="169"/>
      <c r="BD42" s="169"/>
      <c r="BE42" s="169"/>
      <c r="BF42" s="169"/>
      <c r="BG42" s="169"/>
      <c r="BH42" s="169"/>
      <c r="BI42" s="169"/>
      <c r="BJ42" s="169"/>
      <c r="BK42" s="169"/>
      <c r="BL42" s="169"/>
      <c r="BM42" s="169"/>
      <c r="BN42" s="169"/>
      <c r="BO42" s="169"/>
      <c r="BP42" s="169"/>
      <c r="BQ42" s="169"/>
      <c r="BR42" s="169"/>
      <c r="BS42" s="169"/>
      <c r="BT42" s="169"/>
      <c r="BU42" s="169"/>
      <c r="BV42" s="169"/>
      <c r="BW42" s="169"/>
      <c r="BX42" s="169"/>
      <c r="BY42" s="169"/>
      <c r="BZ42" s="169"/>
      <c r="CA42" s="169"/>
      <c r="CB42" s="169"/>
      <c r="CC42" s="169"/>
      <c r="CD42" s="169"/>
      <c r="CE42" s="168"/>
      <c r="CF42" s="166"/>
      <c r="CG42" s="166"/>
      <c r="CH42" s="166"/>
      <c r="CI42" s="166"/>
      <c r="CJ42" s="168"/>
      <c r="CK42">
        <v>0</v>
      </c>
      <c r="CL42">
        <v>0</v>
      </c>
      <c r="CM42">
        <v>0</v>
      </c>
      <c r="CN42">
        <v>0</v>
      </c>
      <c r="CO42">
        <v>0</v>
      </c>
      <c r="CP42">
        <v>0</v>
      </c>
      <c r="CQ42">
        <v>0</v>
      </c>
      <c r="CR42">
        <v>0</v>
      </c>
      <c r="CS42">
        <v>0</v>
      </c>
      <c r="CT42">
        <v>0</v>
      </c>
      <c r="CU42">
        <v>0</v>
      </c>
      <c r="CV42">
        <v>0</v>
      </c>
      <c r="CW42">
        <v>0</v>
      </c>
      <c r="CX42">
        <v>0</v>
      </c>
      <c r="CY42">
        <v>0</v>
      </c>
      <c r="CZ42">
        <v>0</v>
      </c>
      <c r="DA42">
        <v>0</v>
      </c>
      <c r="DB42">
        <v>0</v>
      </c>
      <c r="DC42">
        <v>0</v>
      </c>
      <c r="DD42">
        <v>0</v>
      </c>
      <c r="DE42">
        <v>0</v>
      </c>
      <c r="DF42">
        <v>0</v>
      </c>
      <c r="DG42">
        <v>0</v>
      </c>
      <c r="DH42">
        <v>0</v>
      </c>
      <c r="DI42">
        <v>0</v>
      </c>
      <c r="DJ42">
        <v>0</v>
      </c>
      <c r="DK42">
        <v>0</v>
      </c>
      <c r="DL42">
        <v>0</v>
      </c>
      <c r="DM42">
        <v>0</v>
      </c>
      <c r="DN42">
        <v>0</v>
      </c>
      <c r="DO42">
        <v>0</v>
      </c>
      <c r="DP42">
        <v>0</v>
      </c>
      <c r="DQ42">
        <v>0</v>
      </c>
      <c r="DR42">
        <v>5731.7147024121659</v>
      </c>
    </row>
    <row r="43" spans="1:122">
      <c r="A43" s="192"/>
      <c r="B43" s="193"/>
      <c r="C43" s="168"/>
      <c r="D43" s="167"/>
      <c r="E43" s="168"/>
      <c r="F43" s="168"/>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69"/>
      <c r="AY43" s="169"/>
      <c r="AZ43" s="169"/>
      <c r="BA43" s="169"/>
      <c r="BB43" s="169"/>
      <c r="BC43" s="169"/>
      <c r="BD43" s="169"/>
      <c r="BE43" s="169"/>
      <c r="BF43" s="169"/>
      <c r="BG43" s="169"/>
      <c r="BH43" s="169"/>
      <c r="BI43" s="169"/>
      <c r="BJ43" s="169"/>
      <c r="BK43" s="169"/>
      <c r="BL43" s="169"/>
      <c r="BM43" s="169"/>
      <c r="BN43" s="169"/>
      <c r="BO43" s="169"/>
      <c r="BP43" s="169"/>
      <c r="BQ43" s="169"/>
      <c r="BR43" s="169"/>
      <c r="BS43" s="169"/>
      <c r="BT43" s="169"/>
      <c r="BU43" s="169"/>
      <c r="BV43" s="169"/>
      <c r="BW43" s="169"/>
      <c r="BX43" s="169"/>
      <c r="BY43" s="169"/>
      <c r="BZ43" s="169"/>
      <c r="CA43" s="169"/>
      <c r="CB43" s="169"/>
      <c r="CC43" s="169"/>
      <c r="CD43" s="169"/>
      <c r="CE43" s="168"/>
      <c r="CF43" s="166"/>
      <c r="CG43" s="166"/>
      <c r="CH43" s="166"/>
      <c r="CI43" s="166"/>
      <c r="CJ43" s="168"/>
      <c r="CK43">
        <v>0</v>
      </c>
      <c r="CL43">
        <v>0</v>
      </c>
      <c r="CM43">
        <v>0</v>
      </c>
      <c r="CN43">
        <v>0</v>
      </c>
      <c r="CO43">
        <v>0</v>
      </c>
      <c r="CP43">
        <v>0</v>
      </c>
      <c r="CQ43">
        <v>0</v>
      </c>
      <c r="CR43">
        <v>0</v>
      </c>
      <c r="CS43">
        <v>0</v>
      </c>
      <c r="CT43">
        <v>0</v>
      </c>
      <c r="CU43">
        <v>0</v>
      </c>
      <c r="CV43">
        <v>0</v>
      </c>
      <c r="CW43">
        <v>0</v>
      </c>
      <c r="CX43">
        <v>0</v>
      </c>
      <c r="CY43">
        <v>0</v>
      </c>
      <c r="CZ43">
        <v>0</v>
      </c>
      <c r="DA43">
        <v>0</v>
      </c>
      <c r="DB43">
        <v>0</v>
      </c>
      <c r="DC43">
        <v>0</v>
      </c>
      <c r="DD43">
        <v>0</v>
      </c>
      <c r="DE43">
        <v>0</v>
      </c>
      <c r="DF43">
        <v>0</v>
      </c>
      <c r="DG43">
        <v>0</v>
      </c>
      <c r="DH43">
        <v>0</v>
      </c>
      <c r="DI43">
        <v>0</v>
      </c>
      <c r="DJ43">
        <v>0</v>
      </c>
      <c r="DK43">
        <v>0</v>
      </c>
      <c r="DL43">
        <v>0</v>
      </c>
      <c r="DM43">
        <v>0</v>
      </c>
      <c r="DN43">
        <v>0</v>
      </c>
      <c r="DO43">
        <v>0</v>
      </c>
      <c r="DP43">
        <v>0</v>
      </c>
      <c r="DQ43">
        <v>0</v>
      </c>
      <c r="DR43">
        <v>19559.721189058702</v>
      </c>
    </row>
    <row r="44" spans="1:122">
      <c r="A44" s="192"/>
      <c r="B44" s="193"/>
      <c r="C44" s="168"/>
      <c r="D44" s="167"/>
      <c r="E44" s="168"/>
      <c r="F44" s="168"/>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c r="AT44" s="169"/>
      <c r="AU44" s="169"/>
      <c r="AV44" s="169"/>
      <c r="AW44" s="169"/>
      <c r="AX44" s="169"/>
      <c r="AY44" s="169"/>
      <c r="AZ44" s="169"/>
      <c r="BA44" s="169"/>
      <c r="BB44" s="169"/>
      <c r="BC44" s="169"/>
      <c r="BD44" s="169"/>
      <c r="BE44" s="169"/>
      <c r="BF44" s="169"/>
      <c r="BG44" s="169"/>
      <c r="BH44" s="169"/>
      <c r="BI44" s="169"/>
      <c r="BJ44" s="169"/>
      <c r="BK44" s="169"/>
      <c r="BL44" s="169"/>
      <c r="BM44" s="169"/>
      <c r="BN44" s="169"/>
      <c r="BO44" s="169"/>
      <c r="BP44" s="169"/>
      <c r="BQ44" s="169"/>
      <c r="BR44" s="169"/>
      <c r="BS44" s="169"/>
      <c r="BT44" s="169"/>
      <c r="BU44" s="169"/>
      <c r="BV44" s="169"/>
      <c r="BW44" s="169"/>
      <c r="BX44" s="169"/>
      <c r="BY44" s="169"/>
      <c r="BZ44" s="169"/>
      <c r="CA44" s="169"/>
      <c r="CB44" s="169"/>
      <c r="CC44" s="169"/>
      <c r="CD44" s="169"/>
      <c r="CE44" s="168"/>
      <c r="CF44" s="166"/>
      <c r="CG44" s="166"/>
      <c r="CH44" s="166"/>
      <c r="CI44" s="166"/>
      <c r="CJ44" s="168"/>
      <c r="CK44">
        <v>0</v>
      </c>
      <c r="CL44">
        <v>0</v>
      </c>
      <c r="CM44">
        <v>0</v>
      </c>
      <c r="CN44">
        <v>0</v>
      </c>
      <c r="CO44">
        <v>0</v>
      </c>
      <c r="CP44">
        <v>0</v>
      </c>
      <c r="CQ44">
        <v>0</v>
      </c>
      <c r="CR44">
        <v>0</v>
      </c>
      <c r="CS44">
        <v>0</v>
      </c>
      <c r="CT44">
        <v>0</v>
      </c>
      <c r="CU44">
        <v>0</v>
      </c>
      <c r="CV44">
        <v>0</v>
      </c>
      <c r="CW44">
        <v>0</v>
      </c>
      <c r="CX44">
        <v>0</v>
      </c>
      <c r="CY44">
        <v>0</v>
      </c>
      <c r="CZ44">
        <v>0</v>
      </c>
      <c r="DA44">
        <v>0</v>
      </c>
      <c r="DB44">
        <v>0</v>
      </c>
      <c r="DC44">
        <v>0</v>
      </c>
      <c r="DD44">
        <v>0</v>
      </c>
      <c r="DE44">
        <v>0</v>
      </c>
      <c r="DF44">
        <v>0</v>
      </c>
      <c r="DG44">
        <v>0</v>
      </c>
      <c r="DH44">
        <v>0</v>
      </c>
      <c r="DI44">
        <v>0</v>
      </c>
      <c r="DJ44">
        <v>0</v>
      </c>
      <c r="DK44">
        <v>0</v>
      </c>
      <c r="DL44">
        <v>0</v>
      </c>
      <c r="DM44">
        <v>0</v>
      </c>
      <c r="DN44">
        <v>0</v>
      </c>
      <c r="DO44">
        <v>0</v>
      </c>
      <c r="DP44">
        <v>0</v>
      </c>
      <c r="DQ44">
        <v>0</v>
      </c>
      <c r="DR44">
        <v>3106421.4264575262</v>
      </c>
    </row>
    <row r="45" spans="1:122">
      <c r="A45" s="192"/>
      <c r="B45" s="193"/>
      <c r="C45" s="168"/>
      <c r="D45" s="167"/>
      <c r="E45" s="168"/>
      <c r="F45" s="168"/>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c r="AW45" s="169"/>
      <c r="AX45" s="169"/>
      <c r="AY45" s="169"/>
      <c r="AZ45" s="169"/>
      <c r="BA45" s="169"/>
      <c r="BB45" s="169"/>
      <c r="BC45" s="169"/>
      <c r="BD45" s="169"/>
      <c r="BE45" s="169"/>
      <c r="BF45" s="169"/>
      <c r="BG45" s="169"/>
      <c r="BH45" s="169"/>
      <c r="BI45" s="169"/>
      <c r="BJ45" s="169"/>
      <c r="BK45" s="169"/>
      <c r="BL45" s="169"/>
      <c r="BM45" s="169"/>
      <c r="BN45" s="169"/>
      <c r="BO45" s="169"/>
      <c r="BP45" s="169"/>
      <c r="BQ45" s="169"/>
      <c r="BR45" s="169"/>
      <c r="BS45" s="169"/>
      <c r="BT45" s="169"/>
      <c r="BU45" s="169"/>
      <c r="BV45" s="169"/>
      <c r="BW45" s="169"/>
      <c r="BX45" s="169"/>
      <c r="BY45" s="169"/>
      <c r="BZ45" s="169"/>
      <c r="CA45" s="169"/>
      <c r="CB45" s="169"/>
      <c r="CC45" s="169"/>
      <c r="CD45" s="169"/>
      <c r="CE45" s="168"/>
      <c r="CF45" s="166"/>
      <c r="CG45" s="166"/>
      <c r="CH45" s="166"/>
      <c r="CI45" s="166"/>
      <c r="CJ45" s="168"/>
      <c r="CK45">
        <v>0</v>
      </c>
      <c r="CL45">
        <v>0</v>
      </c>
      <c r="CM45">
        <v>0</v>
      </c>
      <c r="CN45">
        <v>0</v>
      </c>
      <c r="CO45">
        <v>0</v>
      </c>
      <c r="CP45">
        <v>0</v>
      </c>
      <c r="CQ45">
        <v>0</v>
      </c>
      <c r="CR45">
        <v>0</v>
      </c>
      <c r="CS45">
        <v>0</v>
      </c>
      <c r="CT45">
        <v>0</v>
      </c>
      <c r="CU45">
        <v>0</v>
      </c>
      <c r="CV45">
        <v>0</v>
      </c>
      <c r="CW45">
        <v>0</v>
      </c>
      <c r="CX45">
        <v>0</v>
      </c>
      <c r="CY45">
        <v>0</v>
      </c>
      <c r="CZ45">
        <v>0</v>
      </c>
      <c r="DA45">
        <v>0</v>
      </c>
      <c r="DB45">
        <v>0</v>
      </c>
      <c r="DC45">
        <v>0</v>
      </c>
      <c r="DD45">
        <v>0</v>
      </c>
      <c r="DE45">
        <v>0</v>
      </c>
      <c r="DF45">
        <v>0</v>
      </c>
      <c r="DG45">
        <v>0</v>
      </c>
      <c r="DH45">
        <v>0</v>
      </c>
      <c r="DI45">
        <v>0</v>
      </c>
      <c r="DJ45">
        <v>0</v>
      </c>
      <c r="DK45">
        <v>0</v>
      </c>
      <c r="DL45">
        <v>0</v>
      </c>
      <c r="DM45">
        <v>0</v>
      </c>
      <c r="DN45">
        <v>0</v>
      </c>
      <c r="DO45">
        <v>0</v>
      </c>
      <c r="DP45">
        <v>0</v>
      </c>
      <c r="DQ45">
        <v>0</v>
      </c>
      <c r="DR45">
        <v>90300.478235055227</v>
      </c>
    </row>
    <row r="46" spans="1:122">
      <c r="A46" s="192"/>
      <c r="B46" s="193"/>
      <c r="C46" s="168"/>
      <c r="D46" s="167"/>
      <c r="E46" s="168"/>
      <c r="F46" s="168"/>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69"/>
      <c r="CE46" s="168"/>
      <c r="CF46" s="166"/>
      <c r="CG46" s="166"/>
      <c r="CH46" s="166"/>
      <c r="CI46" s="166"/>
      <c r="CJ46" s="168"/>
      <c r="CK46">
        <v>0</v>
      </c>
      <c r="CL46">
        <v>0</v>
      </c>
      <c r="CM46">
        <v>0</v>
      </c>
      <c r="CN46">
        <v>0</v>
      </c>
      <c r="CO46">
        <v>0</v>
      </c>
      <c r="CP46">
        <v>0</v>
      </c>
      <c r="CQ46">
        <v>0</v>
      </c>
      <c r="CR46">
        <v>0</v>
      </c>
      <c r="CS46">
        <v>0</v>
      </c>
      <c r="CT46">
        <v>0</v>
      </c>
      <c r="CU46">
        <v>0</v>
      </c>
      <c r="CV46">
        <v>0</v>
      </c>
      <c r="CW46">
        <v>0</v>
      </c>
      <c r="CX46">
        <v>0</v>
      </c>
      <c r="CY46">
        <v>0</v>
      </c>
      <c r="CZ46">
        <v>0</v>
      </c>
      <c r="DA46">
        <v>0</v>
      </c>
      <c r="DB46">
        <v>0</v>
      </c>
      <c r="DC46">
        <v>0</v>
      </c>
      <c r="DD46">
        <v>0</v>
      </c>
      <c r="DE46">
        <v>0</v>
      </c>
      <c r="DF46">
        <v>0</v>
      </c>
      <c r="DG46">
        <v>0</v>
      </c>
      <c r="DH46">
        <v>0</v>
      </c>
      <c r="DI46">
        <v>0</v>
      </c>
      <c r="DJ46">
        <v>0</v>
      </c>
      <c r="DK46">
        <v>0</v>
      </c>
      <c r="DL46">
        <v>0</v>
      </c>
      <c r="DM46">
        <v>0</v>
      </c>
      <c r="DN46">
        <v>0</v>
      </c>
      <c r="DO46">
        <v>0</v>
      </c>
      <c r="DP46">
        <v>0</v>
      </c>
      <c r="DQ46">
        <v>0</v>
      </c>
      <c r="DR46">
        <v>326484.27372738055</v>
      </c>
    </row>
    <row r="47" spans="1:122">
      <c r="A47" s="192"/>
      <c r="B47" s="193"/>
      <c r="C47" s="168"/>
      <c r="D47" s="167"/>
      <c r="E47" s="168"/>
      <c r="F47" s="168"/>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69"/>
      <c r="BB47" s="169"/>
      <c r="BC47" s="169"/>
      <c r="BD47" s="169"/>
      <c r="BE47" s="169"/>
      <c r="BF47" s="169"/>
      <c r="BG47" s="169"/>
      <c r="BH47" s="169"/>
      <c r="BI47" s="169"/>
      <c r="BJ47" s="169"/>
      <c r="BK47" s="169"/>
      <c r="BL47" s="169"/>
      <c r="BM47" s="169"/>
      <c r="BN47" s="169"/>
      <c r="BO47" s="169"/>
      <c r="BP47" s="169"/>
      <c r="BQ47" s="169"/>
      <c r="BR47" s="169"/>
      <c r="BS47" s="169"/>
      <c r="BT47" s="169"/>
      <c r="BU47" s="169"/>
      <c r="BV47" s="169"/>
      <c r="BW47" s="169"/>
      <c r="BX47" s="169"/>
      <c r="BY47" s="169"/>
      <c r="BZ47" s="169"/>
      <c r="CA47" s="169"/>
      <c r="CB47" s="169"/>
      <c r="CC47" s="169"/>
      <c r="CD47" s="169"/>
      <c r="CE47" s="168"/>
      <c r="CF47" s="166"/>
      <c r="CG47" s="166"/>
      <c r="CH47" s="166"/>
      <c r="CI47" s="166"/>
      <c r="CJ47" s="168"/>
      <c r="CK47">
        <v>0</v>
      </c>
      <c r="CL47">
        <v>0</v>
      </c>
      <c r="CM47">
        <v>0</v>
      </c>
      <c r="CN47">
        <v>0</v>
      </c>
      <c r="CO47">
        <v>0</v>
      </c>
      <c r="CP47">
        <v>0</v>
      </c>
      <c r="CQ47">
        <v>0</v>
      </c>
      <c r="CR47">
        <v>0</v>
      </c>
      <c r="CS47">
        <v>0</v>
      </c>
      <c r="CT47">
        <v>0</v>
      </c>
      <c r="CU47">
        <v>0</v>
      </c>
      <c r="CV47">
        <v>0</v>
      </c>
      <c r="CW47">
        <v>0</v>
      </c>
      <c r="CX47">
        <v>0</v>
      </c>
      <c r="CY47">
        <v>0</v>
      </c>
      <c r="CZ47">
        <v>0</v>
      </c>
      <c r="DA47">
        <v>0</v>
      </c>
      <c r="DB47">
        <v>0</v>
      </c>
      <c r="DC47">
        <v>0</v>
      </c>
      <c r="DD47">
        <v>0</v>
      </c>
      <c r="DE47">
        <v>0</v>
      </c>
      <c r="DF47">
        <v>0</v>
      </c>
      <c r="DG47">
        <v>0</v>
      </c>
      <c r="DH47">
        <v>0</v>
      </c>
      <c r="DI47">
        <v>0</v>
      </c>
      <c r="DJ47">
        <v>0</v>
      </c>
      <c r="DK47">
        <v>0</v>
      </c>
      <c r="DL47">
        <v>0</v>
      </c>
      <c r="DM47">
        <v>0</v>
      </c>
      <c r="DN47">
        <v>0</v>
      </c>
      <c r="DO47">
        <v>0</v>
      </c>
      <c r="DP47">
        <v>0</v>
      </c>
      <c r="DQ47">
        <v>0</v>
      </c>
      <c r="DR47">
        <v>285906.48555111245</v>
      </c>
    </row>
    <row r="48" spans="1:122">
      <c r="A48" s="192"/>
      <c r="B48" s="193"/>
      <c r="C48" s="168"/>
      <c r="D48" s="167"/>
      <c r="E48" s="168"/>
      <c r="F48" s="168"/>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69"/>
      <c r="BR48" s="169"/>
      <c r="BS48" s="169"/>
      <c r="BT48" s="169"/>
      <c r="BU48" s="169"/>
      <c r="BV48" s="169"/>
      <c r="BW48" s="169"/>
      <c r="BX48" s="169"/>
      <c r="BY48" s="169"/>
      <c r="BZ48" s="169"/>
      <c r="CA48" s="169"/>
      <c r="CB48" s="169"/>
      <c r="CC48" s="169"/>
      <c r="CD48" s="169"/>
      <c r="CE48" s="168"/>
      <c r="CF48" s="166"/>
      <c r="CG48" s="166"/>
      <c r="CH48" s="166"/>
      <c r="CI48" s="166"/>
      <c r="CJ48" s="168"/>
      <c r="CK48">
        <v>0</v>
      </c>
      <c r="CL48">
        <v>0</v>
      </c>
      <c r="CM48">
        <v>0</v>
      </c>
      <c r="CN48">
        <v>0</v>
      </c>
      <c r="CO48">
        <v>0</v>
      </c>
      <c r="CP48">
        <v>0</v>
      </c>
      <c r="CQ48">
        <v>0</v>
      </c>
      <c r="CR48">
        <v>0</v>
      </c>
      <c r="CS48">
        <v>0</v>
      </c>
      <c r="CT48">
        <v>0</v>
      </c>
      <c r="CU48">
        <v>0</v>
      </c>
      <c r="CV48">
        <v>0</v>
      </c>
      <c r="CW48">
        <v>0</v>
      </c>
      <c r="CX48">
        <v>0</v>
      </c>
      <c r="CY48">
        <v>0</v>
      </c>
      <c r="CZ48">
        <v>0</v>
      </c>
      <c r="DA48">
        <v>0</v>
      </c>
      <c r="DB48">
        <v>0</v>
      </c>
      <c r="DC48">
        <v>0</v>
      </c>
      <c r="DD48">
        <v>0</v>
      </c>
      <c r="DE48">
        <v>0</v>
      </c>
      <c r="DF48">
        <v>0</v>
      </c>
      <c r="DG48">
        <v>0</v>
      </c>
      <c r="DH48">
        <v>0</v>
      </c>
      <c r="DI48">
        <v>0</v>
      </c>
      <c r="DJ48">
        <v>0</v>
      </c>
      <c r="DK48">
        <v>0</v>
      </c>
      <c r="DL48">
        <v>0</v>
      </c>
      <c r="DM48">
        <v>0</v>
      </c>
      <c r="DN48">
        <v>0</v>
      </c>
      <c r="DO48">
        <v>0</v>
      </c>
      <c r="DP48">
        <v>0</v>
      </c>
      <c r="DQ48">
        <v>0</v>
      </c>
      <c r="DR48">
        <v>442884.01300896227</v>
      </c>
    </row>
    <row r="49" spans="1:122">
      <c r="A49" s="192"/>
      <c r="B49" s="193"/>
      <c r="C49" s="168"/>
      <c r="D49" s="167"/>
      <c r="E49" s="168"/>
      <c r="F49" s="168"/>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69"/>
      <c r="BX49" s="169"/>
      <c r="BY49" s="169"/>
      <c r="BZ49" s="169"/>
      <c r="CA49" s="169"/>
      <c r="CB49" s="169"/>
      <c r="CC49" s="169"/>
      <c r="CD49" s="169"/>
      <c r="CE49" s="168"/>
      <c r="CF49" s="166"/>
      <c r="CG49" s="166"/>
      <c r="CH49" s="166"/>
      <c r="CI49" s="166"/>
      <c r="CJ49" s="168"/>
      <c r="CK49">
        <v>0</v>
      </c>
      <c r="CL49">
        <v>0</v>
      </c>
      <c r="CM49">
        <v>0</v>
      </c>
      <c r="CN49">
        <v>0</v>
      </c>
      <c r="CO49">
        <v>0</v>
      </c>
      <c r="CP49">
        <v>0</v>
      </c>
      <c r="CQ49">
        <v>0</v>
      </c>
      <c r="CR49">
        <v>0</v>
      </c>
      <c r="CS49">
        <v>0</v>
      </c>
      <c r="CT49">
        <v>0</v>
      </c>
      <c r="CU49">
        <v>0</v>
      </c>
      <c r="CV49">
        <v>0</v>
      </c>
      <c r="CW49">
        <v>0</v>
      </c>
      <c r="CX49">
        <v>0</v>
      </c>
      <c r="CY49">
        <v>0</v>
      </c>
      <c r="CZ49">
        <v>0</v>
      </c>
      <c r="DA49">
        <v>0</v>
      </c>
      <c r="DB49">
        <v>0</v>
      </c>
      <c r="DC49">
        <v>0</v>
      </c>
      <c r="DD49">
        <v>0</v>
      </c>
      <c r="DE49">
        <v>0</v>
      </c>
      <c r="DF49">
        <v>0</v>
      </c>
      <c r="DG49">
        <v>0</v>
      </c>
      <c r="DH49">
        <v>0</v>
      </c>
      <c r="DI49">
        <v>0</v>
      </c>
      <c r="DJ49">
        <v>0</v>
      </c>
      <c r="DK49">
        <v>0</v>
      </c>
      <c r="DL49">
        <v>0</v>
      </c>
      <c r="DM49">
        <v>0</v>
      </c>
      <c r="DN49">
        <v>0</v>
      </c>
      <c r="DO49">
        <v>0</v>
      </c>
      <c r="DP49">
        <v>0</v>
      </c>
      <c r="DQ49">
        <v>0</v>
      </c>
      <c r="DR49">
        <v>200065.87380824576</v>
      </c>
    </row>
    <row r="50" spans="1:122">
      <c r="A50" s="192"/>
      <c r="B50" s="193"/>
      <c r="C50" s="168"/>
      <c r="D50" s="167"/>
      <c r="E50" s="168"/>
      <c r="F50" s="168"/>
      <c r="G50" s="169"/>
      <c r="H50" s="169"/>
      <c r="I50" s="169"/>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c r="AT50" s="169"/>
      <c r="AU50" s="169"/>
      <c r="AV50" s="169"/>
      <c r="AW50" s="169"/>
      <c r="AX50" s="169"/>
      <c r="AY50" s="169"/>
      <c r="AZ50" s="169"/>
      <c r="BA50" s="169"/>
      <c r="BB50" s="169"/>
      <c r="BC50" s="169"/>
      <c r="BD50" s="169"/>
      <c r="BE50" s="169"/>
      <c r="BF50" s="169"/>
      <c r="BG50" s="169"/>
      <c r="BH50" s="169"/>
      <c r="BI50" s="169"/>
      <c r="BJ50" s="169"/>
      <c r="BK50" s="169"/>
      <c r="BL50" s="169"/>
      <c r="BM50" s="169"/>
      <c r="BN50" s="169"/>
      <c r="BO50" s="169"/>
      <c r="BP50" s="169"/>
      <c r="BQ50" s="169"/>
      <c r="BR50" s="169"/>
      <c r="BS50" s="169"/>
      <c r="BT50" s="169"/>
      <c r="BU50" s="169"/>
      <c r="BV50" s="169"/>
      <c r="BW50" s="169"/>
      <c r="BX50" s="169"/>
      <c r="BY50" s="169"/>
      <c r="BZ50" s="169"/>
      <c r="CA50" s="169"/>
      <c r="CB50" s="169"/>
      <c r="CC50" s="169"/>
      <c r="CD50" s="169"/>
      <c r="CE50" s="168"/>
      <c r="CF50" s="166"/>
      <c r="CG50" s="166"/>
      <c r="CH50" s="166"/>
      <c r="CI50" s="166"/>
      <c r="CJ50" s="168"/>
      <c r="CK50">
        <v>0</v>
      </c>
      <c r="CL50">
        <v>0</v>
      </c>
      <c r="CM50">
        <v>0</v>
      </c>
      <c r="CN50">
        <v>0</v>
      </c>
      <c r="CO50">
        <v>0</v>
      </c>
      <c r="CP50">
        <v>0</v>
      </c>
      <c r="CQ50">
        <v>0</v>
      </c>
      <c r="CR50">
        <v>0</v>
      </c>
      <c r="CS50">
        <v>0</v>
      </c>
      <c r="CT50">
        <v>0</v>
      </c>
      <c r="CU50">
        <v>0</v>
      </c>
      <c r="CV50">
        <v>0</v>
      </c>
      <c r="CW50">
        <v>0</v>
      </c>
      <c r="CX50">
        <v>0</v>
      </c>
      <c r="CY50">
        <v>0</v>
      </c>
      <c r="CZ50">
        <v>0</v>
      </c>
      <c r="DA50">
        <v>0</v>
      </c>
      <c r="DB50">
        <v>0</v>
      </c>
      <c r="DC50">
        <v>0</v>
      </c>
      <c r="DD50">
        <v>0</v>
      </c>
      <c r="DE50">
        <v>0</v>
      </c>
      <c r="DF50">
        <v>0</v>
      </c>
      <c r="DG50">
        <v>0</v>
      </c>
      <c r="DH50">
        <v>0</v>
      </c>
      <c r="DI50">
        <v>0</v>
      </c>
      <c r="DJ50">
        <v>0</v>
      </c>
      <c r="DK50">
        <v>0</v>
      </c>
      <c r="DL50">
        <v>0</v>
      </c>
      <c r="DM50">
        <v>0</v>
      </c>
      <c r="DN50">
        <v>0</v>
      </c>
      <c r="DO50">
        <v>0</v>
      </c>
      <c r="DP50">
        <v>0</v>
      </c>
      <c r="DQ50">
        <v>0</v>
      </c>
      <c r="DR50">
        <v>41464.773148066481</v>
      </c>
    </row>
    <row r="51" spans="1:122">
      <c r="A51" s="192"/>
      <c r="B51" s="193"/>
      <c r="C51" s="168"/>
      <c r="D51" s="167"/>
      <c r="E51" s="168"/>
      <c r="F51" s="168"/>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c r="AW51" s="169"/>
      <c r="AX51" s="169"/>
      <c r="AY51" s="169"/>
      <c r="AZ51" s="169"/>
      <c r="BA51" s="169"/>
      <c r="BB51" s="169"/>
      <c r="BC51" s="169"/>
      <c r="BD51" s="169"/>
      <c r="BE51" s="169"/>
      <c r="BF51" s="169"/>
      <c r="BG51" s="169"/>
      <c r="BH51" s="169"/>
      <c r="BI51" s="169"/>
      <c r="BJ51" s="169"/>
      <c r="BK51" s="169"/>
      <c r="BL51" s="169"/>
      <c r="BM51" s="169"/>
      <c r="BN51" s="169"/>
      <c r="BO51" s="169"/>
      <c r="BP51" s="169"/>
      <c r="BQ51" s="169"/>
      <c r="BR51" s="169"/>
      <c r="BS51" s="169"/>
      <c r="BT51" s="169"/>
      <c r="BU51" s="169"/>
      <c r="BV51" s="169"/>
      <c r="BW51" s="169"/>
      <c r="BX51" s="169"/>
      <c r="BY51" s="169"/>
      <c r="BZ51" s="169"/>
      <c r="CA51" s="169"/>
      <c r="CB51" s="169"/>
      <c r="CC51" s="169"/>
      <c r="CD51" s="169"/>
      <c r="CE51" s="168"/>
      <c r="CF51" s="166"/>
      <c r="CG51" s="166"/>
      <c r="CH51" s="166"/>
      <c r="CI51" s="166"/>
      <c r="CJ51" s="168"/>
      <c r="CK51">
        <v>0</v>
      </c>
      <c r="CL51">
        <v>0</v>
      </c>
      <c r="CM51">
        <v>0</v>
      </c>
      <c r="CN51">
        <v>0</v>
      </c>
      <c r="CO51">
        <v>0</v>
      </c>
      <c r="CP51">
        <v>0</v>
      </c>
      <c r="CQ51">
        <v>0</v>
      </c>
      <c r="CR51">
        <v>0</v>
      </c>
      <c r="CS51">
        <v>0</v>
      </c>
      <c r="CT51">
        <v>0</v>
      </c>
      <c r="CU51">
        <v>0</v>
      </c>
      <c r="CV51">
        <v>0</v>
      </c>
      <c r="CW51">
        <v>0</v>
      </c>
      <c r="CX51">
        <v>0</v>
      </c>
      <c r="CY51">
        <v>0</v>
      </c>
      <c r="CZ51">
        <v>0</v>
      </c>
      <c r="DA51">
        <v>0</v>
      </c>
      <c r="DB51">
        <v>0</v>
      </c>
      <c r="DC51">
        <v>0</v>
      </c>
      <c r="DD51">
        <v>0</v>
      </c>
      <c r="DE51">
        <v>0</v>
      </c>
      <c r="DF51">
        <v>0</v>
      </c>
      <c r="DG51">
        <v>0</v>
      </c>
      <c r="DH51">
        <v>0</v>
      </c>
      <c r="DI51">
        <v>0</v>
      </c>
      <c r="DJ51">
        <v>0</v>
      </c>
      <c r="DK51">
        <v>0</v>
      </c>
      <c r="DL51">
        <v>0</v>
      </c>
      <c r="DM51">
        <v>0</v>
      </c>
      <c r="DN51">
        <v>0</v>
      </c>
      <c r="DO51">
        <v>0</v>
      </c>
      <c r="DP51">
        <v>0</v>
      </c>
      <c r="DQ51">
        <v>0</v>
      </c>
      <c r="DR51">
        <v>167215.15434827004</v>
      </c>
    </row>
    <row r="52" spans="1:122">
      <c r="A52" s="192"/>
      <c r="B52" s="193"/>
      <c r="C52" s="168"/>
      <c r="D52" s="167"/>
      <c r="E52" s="168"/>
      <c r="F52" s="168"/>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169"/>
      <c r="BB52" s="169"/>
      <c r="BC52" s="169"/>
      <c r="BD52" s="169"/>
      <c r="BE52" s="169"/>
      <c r="BF52" s="169"/>
      <c r="BG52" s="169"/>
      <c r="BH52" s="169"/>
      <c r="BI52" s="169"/>
      <c r="BJ52" s="169"/>
      <c r="BK52" s="169"/>
      <c r="BL52" s="169"/>
      <c r="BM52" s="169"/>
      <c r="BN52" s="169"/>
      <c r="BO52" s="169"/>
      <c r="BP52" s="169"/>
      <c r="BQ52" s="169"/>
      <c r="BR52" s="169"/>
      <c r="BS52" s="169"/>
      <c r="BT52" s="169"/>
      <c r="BU52" s="169"/>
      <c r="BV52" s="169"/>
      <c r="BW52" s="169"/>
      <c r="BX52" s="169"/>
      <c r="BY52" s="169"/>
      <c r="BZ52" s="169"/>
      <c r="CA52" s="169"/>
      <c r="CB52" s="169"/>
      <c r="CC52" s="169"/>
      <c r="CD52" s="169"/>
      <c r="CE52" s="168"/>
      <c r="CF52" s="166"/>
      <c r="CG52" s="166"/>
      <c r="CH52" s="166"/>
      <c r="CI52" s="166"/>
      <c r="CJ52" s="168"/>
      <c r="CK52">
        <v>0</v>
      </c>
      <c r="CL52">
        <v>0</v>
      </c>
      <c r="CM52">
        <v>0</v>
      </c>
      <c r="CN52">
        <v>0</v>
      </c>
      <c r="CO52">
        <v>0</v>
      </c>
      <c r="CP52">
        <v>0</v>
      </c>
      <c r="CQ52">
        <v>0</v>
      </c>
      <c r="CR52">
        <v>0</v>
      </c>
      <c r="CS52">
        <v>0</v>
      </c>
      <c r="CT52">
        <v>0</v>
      </c>
      <c r="CU52">
        <v>0</v>
      </c>
      <c r="CV52">
        <v>0</v>
      </c>
      <c r="CW52">
        <v>0</v>
      </c>
      <c r="CX52">
        <v>0</v>
      </c>
      <c r="CY52">
        <v>0</v>
      </c>
      <c r="CZ52">
        <v>0</v>
      </c>
      <c r="DA52">
        <v>0</v>
      </c>
      <c r="DB52">
        <v>0</v>
      </c>
      <c r="DC52">
        <v>0</v>
      </c>
      <c r="DD52">
        <v>0</v>
      </c>
      <c r="DE52">
        <v>0</v>
      </c>
      <c r="DF52">
        <v>0</v>
      </c>
      <c r="DG52">
        <v>0</v>
      </c>
      <c r="DH52">
        <v>0</v>
      </c>
      <c r="DI52">
        <v>0</v>
      </c>
      <c r="DJ52">
        <v>0</v>
      </c>
      <c r="DK52">
        <v>0</v>
      </c>
      <c r="DL52">
        <v>0</v>
      </c>
      <c r="DM52">
        <v>0</v>
      </c>
      <c r="DN52">
        <v>0</v>
      </c>
      <c r="DO52">
        <v>0</v>
      </c>
      <c r="DP52">
        <v>0</v>
      </c>
      <c r="DQ52">
        <v>0</v>
      </c>
      <c r="DR52">
        <v>35347.42071372224</v>
      </c>
    </row>
    <row r="53" spans="1:122">
      <c r="A53" s="192"/>
      <c r="B53" s="193"/>
      <c r="C53" s="168"/>
      <c r="D53" s="167"/>
      <c r="E53" s="168"/>
      <c r="F53" s="168"/>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169"/>
      <c r="BP53" s="169"/>
      <c r="BQ53" s="169"/>
      <c r="BR53" s="169"/>
      <c r="BS53" s="169"/>
      <c r="BT53" s="169"/>
      <c r="BU53" s="169"/>
      <c r="BV53" s="169"/>
      <c r="BW53" s="169"/>
      <c r="BX53" s="169"/>
      <c r="BY53" s="169"/>
      <c r="BZ53" s="169"/>
      <c r="CA53" s="169"/>
      <c r="CB53" s="169"/>
      <c r="CC53" s="169"/>
      <c r="CD53" s="169"/>
      <c r="CE53" s="168"/>
      <c r="CF53" s="166"/>
      <c r="CG53" s="166"/>
      <c r="CH53" s="166"/>
      <c r="CI53" s="166"/>
      <c r="CJ53" s="168"/>
      <c r="CK53">
        <v>0</v>
      </c>
      <c r="CL53">
        <v>0</v>
      </c>
      <c r="CM53">
        <v>0</v>
      </c>
      <c r="CN53">
        <v>0</v>
      </c>
      <c r="CO53">
        <v>0</v>
      </c>
      <c r="CP53">
        <v>0</v>
      </c>
      <c r="CQ53">
        <v>0</v>
      </c>
      <c r="CR53">
        <v>0</v>
      </c>
      <c r="CS53">
        <v>0</v>
      </c>
      <c r="CT53">
        <v>0</v>
      </c>
      <c r="CU53">
        <v>0</v>
      </c>
      <c r="CV53">
        <v>0</v>
      </c>
      <c r="CW53">
        <v>0</v>
      </c>
      <c r="CX53">
        <v>0</v>
      </c>
      <c r="CY53">
        <v>0</v>
      </c>
      <c r="CZ53">
        <v>0</v>
      </c>
      <c r="DA53">
        <v>0</v>
      </c>
      <c r="DB53">
        <v>0</v>
      </c>
      <c r="DC53">
        <v>0</v>
      </c>
      <c r="DD53">
        <v>0</v>
      </c>
      <c r="DE53">
        <v>0</v>
      </c>
      <c r="DF53">
        <v>0</v>
      </c>
      <c r="DG53">
        <v>0</v>
      </c>
      <c r="DH53">
        <v>0</v>
      </c>
      <c r="DI53">
        <v>0</v>
      </c>
      <c r="DJ53">
        <v>0</v>
      </c>
      <c r="DK53">
        <v>0</v>
      </c>
      <c r="DL53">
        <v>0</v>
      </c>
      <c r="DM53">
        <v>0</v>
      </c>
      <c r="DN53">
        <v>0</v>
      </c>
      <c r="DO53">
        <v>0</v>
      </c>
      <c r="DP53">
        <v>0</v>
      </c>
      <c r="DQ53">
        <v>0</v>
      </c>
      <c r="DR53">
        <v>1963.3413388628978</v>
      </c>
    </row>
    <row r="54" spans="1:122">
      <c r="A54" s="192"/>
      <c r="B54" s="193"/>
      <c r="C54" s="168"/>
      <c r="D54" s="167"/>
      <c r="E54" s="168"/>
      <c r="F54" s="168"/>
      <c r="G54" s="169"/>
      <c r="H54" s="169"/>
      <c r="I54" s="169"/>
      <c r="J54" s="169"/>
      <c r="K54" s="169"/>
      <c r="L54" s="169"/>
      <c r="M54" s="169"/>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69"/>
      <c r="BR54" s="169"/>
      <c r="BS54" s="169"/>
      <c r="BT54" s="169"/>
      <c r="BU54" s="169"/>
      <c r="BV54" s="169"/>
      <c r="BW54" s="169"/>
      <c r="BX54" s="169"/>
      <c r="BY54" s="169"/>
      <c r="BZ54" s="169"/>
      <c r="CA54" s="169"/>
      <c r="CB54" s="169"/>
      <c r="CC54" s="169"/>
      <c r="CD54" s="169"/>
      <c r="CE54" s="168"/>
      <c r="CF54" s="166"/>
      <c r="CG54" s="166"/>
      <c r="CH54" s="166"/>
      <c r="CI54" s="166"/>
      <c r="CJ54" s="168"/>
      <c r="CK54">
        <v>0</v>
      </c>
      <c r="CL54">
        <v>0</v>
      </c>
      <c r="CM54">
        <v>0</v>
      </c>
      <c r="CN54">
        <v>0</v>
      </c>
      <c r="CO54">
        <v>0</v>
      </c>
      <c r="CP54">
        <v>0</v>
      </c>
      <c r="CQ54">
        <v>0</v>
      </c>
      <c r="CR54">
        <v>0</v>
      </c>
      <c r="CS54">
        <v>0</v>
      </c>
      <c r="CT54">
        <v>0</v>
      </c>
      <c r="CU54">
        <v>0</v>
      </c>
      <c r="CV54">
        <v>0</v>
      </c>
      <c r="CW54">
        <v>0</v>
      </c>
      <c r="CX54">
        <v>0</v>
      </c>
      <c r="CY54">
        <v>0</v>
      </c>
      <c r="CZ54">
        <v>0</v>
      </c>
      <c r="DA54">
        <v>0</v>
      </c>
      <c r="DB54">
        <v>0</v>
      </c>
      <c r="DC54">
        <v>0</v>
      </c>
      <c r="DD54">
        <v>0</v>
      </c>
      <c r="DE54">
        <v>0</v>
      </c>
      <c r="DF54">
        <v>0</v>
      </c>
      <c r="DG54">
        <v>0</v>
      </c>
      <c r="DH54">
        <v>0</v>
      </c>
      <c r="DI54">
        <v>0</v>
      </c>
      <c r="DJ54">
        <v>0</v>
      </c>
      <c r="DK54">
        <v>0</v>
      </c>
      <c r="DL54">
        <v>0</v>
      </c>
      <c r="DM54">
        <v>0</v>
      </c>
      <c r="DN54">
        <v>0</v>
      </c>
      <c r="DO54">
        <v>0</v>
      </c>
      <c r="DP54">
        <v>0</v>
      </c>
      <c r="DQ54">
        <v>0</v>
      </c>
      <c r="DR54">
        <v>82526.152611049853</v>
      </c>
    </row>
    <row r="55" spans="1:122" ht="15.75" customHeight="1">
      <c r="A55" s="192"/>
      <c r="B55" s="193"/>
      <c r="C55" s="168"/>
      <c r="D55" s="167"/>
      <c r="E55" s="168"/>
      <c r="F55" s="168"/>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69"/>
      <c r="BR55" s="169"/>
      <c r="BS55" s="169"/>
      <c r="BT55" s="169"/>
      <c r="BU55" s="169"/>
      <c r="BV55" s="169"/>
      <c r="BW55" s="169"/>
      <c r="BX55" s="169"/>
      <c r="BY55" s="169"/>
      <c r="BZ55" s="169"/>
      <c r="CA55" s="169"/>
      <c r="CB55" s="169"/>
      <c r="CC55" s="169"/>
      <c r="CD55" s="169"/>
      <c r="CE55" s="168"/>
      <c r="CF55" s="166"/>
      <c r="CG55" s="166"/>
      <c r="CH55" s="166"/>
      <c r="CI55" s="166"/>
      <c r="CJ55" s="168"/>
      <c r="CK55">
        <v>0</v>
      </c>
      <c r="CL55">
        <v>0</v>
      </c>
      <c r="CM55">
        <v>0</v>
      </c>
      <c r="CN55">
        <v>0</v>
      </c>
      <c r="CO55">
        <v>0</v>
      </c>
      <c r="CP55">
        <v>0</v>
      </c>
      <c r="CQ55">
        <v>0</v>
      </c>
      <c r="CR55">
        <v>0</v>
      </c>
      <c r="CS55">
        <v>0</v>
      </c>
      <c r="CT55">
        <v>0</v>
      </c>
      <c r="CU55">
        <v>0</v>
      </c>
      <c r="CV55">
        <v>0</v>
      </c>
      <c r="CW55">
        <v>0</v>
      </c>
      <c r="CX55">
        <v>0</v>
      </c>
      <c r="CY55">
        <v>0</v>
      </c>
      <c r="CZ55">
        <v>0</v>
      </c>
      <c r="DA55">
        <v>0</v>
      </c>
      <c r="DB55">
        <v>0</v>
      </c>
      <c r="DC55">
        <v>0</v>
      </c>
      <c r="DD55">
        <v>0</v>
      </c>
      <c r="DE55">
        <v>0</v>
      </c>
      <c r="DF55">
        <v>0</v>
      </c>
      <c r="DG55">
        <v>0</v>
      </c>
      <c r="DH55">
        <v>0</v>
      </c>
      <c r="DI55">
        <v>0</v>
      </c>
      <c r="DJ55">
        <v>0</v>
      </c>
      <c r="DK55">
        <v>0</v>
      </c>
      <c r="DL55">
        <v>0</v>
      </c>
      <c r="DM55">
        <v>0</v>
      </c>
      <c r="DN55">
        <v>0</v>
      </c>
      <c r="DO55">
        <v>0</v>
      </c>
      <c r="DP55">
        <v>0</v>
      </c>
      <c r="DQ55">
        <v>0</v>
      </c>
      <c r="DR55">
        <v>354789.80801085837</v>
      </c>
    </row>
    <row r="56" spans="1:122">
      <c r="A56" s="192"/>
      <c r="B56" s="193"/>
      <c r="C56" s="168"/>
      <c r="D56" s="167"/>
      <c r="E56" s="168"/>
      <c r="F56" s="168"/>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H56" s="169"/>
      <c r="BI56" s="169"/>
      <c r="BJ56" s="169"/>
      <c r="BK56" s="169"/>
      <c r="BL56" s="169"/>
      <c r="BM56" s="169"/>
      <c r="BN56" s="169"/>
      <c r="BO56" s="169"/>
      <c r="BP56" s="169"/>
      <c r="BQ56" s="169"/>
      <c r="BR56" s="169"/>
      <c r="BS56" s="169"/>
      <c r="BT56" s="169"/>
      <c r="BU56" s="169"/>
      <c r="BV56" s="169"/>
      <c r="BW56" s="169"/>
      <c r="BX56" s="169"/>
      <c r="BY56" s="169"/>
      <c r="BZ56" s="169"/>
      <c r="CA56" s="169"/>
      <c r="CB56" s="169"/>
      <c r="CC56" s="169"/>
      <c r="CD56" s="169"/>
      <c r="CE56" s="168"/>
      <c r="CF56" s="166"/>
      <c r="CG56" s="166"/>
      <c r="CH56" s="166"/>
      <c r="CI56" s="166"/>
      <c r="CJ56" s="168"/>
      <c r="CK56">
        <v>0</v>
      </c>
      <c r="CL56">
        <v>0</v>
      </c>
      <c r="CM56">
        <v>0</v>
      </c>
      <c r="CN56">
        <v>0</v>
      </c>
      <c r="CO56">
        <v>0</v>
      </c>
      <c r="CP56">
        <v>0</v>
      </c>
      <c r="CQ56">
        <v>0</v>
      </c>
      <c r="CR56">
        <v>0</v>
      </c>
      <c r="CS56">
        <v>0</v>
      </c>
      <c r="CT56">
        <v>0</v>
      </c>
      <c r="CU56">
        <v>0</v>
      </c>
      <c r="CV56">
        <v>0</v>
      </c>
      <c r="CW56">
        <v>0</v>
      </c>
      <c r="CX56">
        <v>0</v>
      </c>
      <c r="CY56">
        <v>0</v>
      </c>
      <c r="CZ56">
        <v>0</v>
      </c>
      <c r="DA56">
        <v>0</v>
      </c>
      <c r="DB56">
        <v>0</v>
      </c>
      <c r="DC56">
        <v>0</v>
      </c>
      <c r="DD56">
        <v>0</v>
      </c>
      <c r="DE56">
        <v>0</v>
      </c>
      <c r="DF56">
        <v>0</v>
      </c>
      <c r="DG56">
        <v>0</v>
      </c>
      <c r="DH56">
        <v>0</v>
      </c>
      <c r="DI56">
        <v>0</v>
      </c>
      <c r="DJ56">
        <v>0</v>
      </c>
      <c r="DK56">
        <v>0</v>
      </c>
      <c r="DL56">
        <v>0</v>
      </c>
      <c r="DM56">
        <v>0</v>
      </c>
      <c r="DN56">
        <v>0</v>
      </c>
      <c r="DO56">
        <v>0</v>
      </c>
      <c r="DP56">
        <v>0</v>
      </c>
      <c r="DQ56">
        <v>0</v>
      </c>
      <c r="DR56">
        <v>-148920.29524971917</v>
      </c>
    </row>
    <row r="57" spans="1:122" ht="15.75" customHeight="1">
      <c r="A57" s="192"/>
      <c r="B57" s="193"/>
      <c r="C57" s="168"/>
      <c r="D57" s="167"/>
      <c r="E57" s="168"/>
      <c r="F57" s="168"/>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H57" s="169"/>
      <c r="BI57" s="169"/>
      <c r="BJ57" s="169"/>
      <c r="BK57" s="169"/>
      <c r="BL57" s="169"/>
      <c r="BM57" s="169"/>
      <c r="BN57" s="169"/>
      <c r="BO57" s="169"/>
      <c r="BP57" s="169"/>
      <c r="BQ57" s="169"/>
      <c r="BR57" s="169"/>
      <c r="BS57" s="169"/>
      <c r="BT57" s="169"/>
      <c r="BU57" s="169"/>
      <c r="BV57" s="169"/>
      <c r="BW57" s="169"/>
      <c r="BX57" s="169"/>
      <c r="BY57" s="169"/>
      <c r="BZ57" s="169"/>
      <c r="CA57" s="169"/>
      <c r="CB57" s="169"/>
      <c r="CC57" s="169"/>
      <c r="CD57" s="169"/>
      <c r="CE57" s="168"/>
      <c r="CF57" s="166"/>
      <c r="CG57" s="166"/>
      <c r="CH57" s="166"/>
      <c r="CI57" s="166"/>
      <c r="CJ57" s="168"/>
      <c r="CK57">
        <v>0</v>
      </c>
      <c r="CL57">
        <v>0</v>
      </c>
      <c r="CM57">
        <v>0</v>
      </c>
      <c r="CN57">
        <v>0</v>
      </c>
      <c r="CO57">
        <v>0</v>
      </c>
      <c r="CP57">
        <v>0</v>
      </c>
      <c r="CQ57">
        <v>0</v>
      </c>
      <c r="CR57">
        <v>0</v>
      </c>
      <c r="CS57">
        <v>0</v>
      </c>
      <c r="CT57">
        <v>0</v>
      </c>
      <c r="CU57">
        <v>0</v>
      </c>
      <c r="CV57">
        <v>0</v>
      </c>
      <c r="CW57">
        <v>0</v>
      </c>
      <c r="CX57">
        <v>0</v>
      </c>
      <c r="CY57">
        <v>0</v>
      </c>
      <c r="CZ57">
        <v>0</v>
      </c>
      <c r="DA57">
        <v>0</v>
      </c>
      <c r="DB57">
        <v>0</v>
      </c>
      <c r="DC57">
        <v>0</v>
      </c>
      <c r="DD57">
        <v>0</v>
      </c>
      <c r="DE57">
        <v>0</v>
      </c>
      <c r="DF57">
        <v>0</v>
      </c>
      <c r="DG57">
        <v>0</v>
      </c>
      <c r="DH57">
        <v>0</v>
      </c>
      <c r="DI57">
        <v>0</v>
      </c>
      <c r="DJ57">
        <v>0</v>
      </c>
      <c r="DK57">
        <v>0</v>
      </c>
      <c r="DL57">
        <v>0</v>
      </c>
      <c r="DM57">
        <v>0</v>
      </c>
      <c r="DN57">
        <v>0</v>
      </c>
      <c r="DO57">
        <v>0</v>
      </c>
      <c r="DP57">
        <v>0</v>
      </c>
      <c r="DQ57">
        <v>0</v>
      </c>
      <c r="DR57">
        <v>8247.2165576781263</v>
      </c>
    </row>
    <row r="58" spans="1:122">
      <c r="A58" s="192"/>
      <c r="B58" s="193"/>
      <c r="C58" s="168"/>
      <c r="D58" s="167"/>
      <c r="E58" s="168"/>
      <c r="F58" s="168"/>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69"/>
      <c r="BR58" s="169"/>
      <c r="BS58" s="169"/>
      <c r="BT58" s="169"/>
      <c r="BU58" s="169"/>
      <c r="BV58" s="169"/>
      <c r="BW58" s="169"/>
      <c r="BX58" s="169"/>
      <c r="BY58" s="169"/>
      <c r="BZ58" s="169"/>
      <c r="CA58" s="169"/>
      <c r="CB58" s="169"/>
      <c r="CC58" s="169"/>
      <c r="CD58" s="169"/>
      <c r="CE58" s="168"/>
      <c r="CF58" s="166"/>
      <c r="CG58" s="166"/>
      <c r="CH58" s="166"/>
      <c r="CI58" s="166"/>
      <c r="CJ58" s="168"/>
      <c r="CK58">
        <v>0</v>
      </c>
      <c r="CL58">
        <v>0</v>
      </c>
      <c r="CM58">
        <v>0</v>
      </c>
      <c r="CN58">
        <v>0</v>
      </c>
      <c r="CO58">
        <v>0</v>
      </c>
      <c r="CP58">
        <v>0</v>
      </c>
      <c r="CQ58">
        <v>0</v>
      </c>
      <c r="CR58">
        <v>0</v>
      </c>
      <c r="CS58">
        <v>0</v>
      </c>
      <c r="CT58">
        <v>0</v>
      </c>
      <c r="CU58">
        <v>0</v>
      </c>
      <c r="CV58">
        <v>0</v>
      </c>
      <c r="CW58">
        <v>0</v>
      </c>
      <c r="CX58">
        <v>0</v>
      </c>
      <c r="CY58">
        <v>0</v>
      </c>
      <c r="CZ58">
        <v>0</v>
      </c>
      <c r="DA58">
        <v>0</v>
      </c>
      <c r="DB58">
        <v>0</v>
      </c>
      <c r="DC58">
        <v>0</v>
      </c>
      <c r="DD58">
        <v>0</v>
      </c>
      <c r="DE58">
        <v>0</v>
      </c>
      <c r="DF58">
        <v>0</v>
      </c>
      <c r="DG58">
        <v>0</v>
      </c>
      <c r="DH58">
        <v>0</v>
      </c>
      <c r="DI58">
        <v>0</v>
      </c>
      <c r="DJ58">
        <v>0</v>
      </c>
      <c r="DK58">
        <v>0</v>
      </c>
      <c r="DL58">
        <v>0</v>
      </c>
      <c r="DM58">
        <v>0</v>
      </c>
      <c r="DN58">
        <v>0</v>
      </c>
      <c r="DO58">
        <v>0</v>
      </c>
      <c r="DP58">
        <v>0</v>
      </c>
      <c r="DQ58">
        <v>0</v>
      </c>
      <c r="DR58">
        <v>419208.64123874996</v>
      </c>
    </row>
    <row r="59" spans="1:122">
      <c r="A59" s="192"/>
      <c r="B59" s="193"/>
      <c r="C59" s="168"/>
      <c r="D59" s="167"/>
      <c r="E59" s="168"/>
      <c r="F59" s="168"/>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H59" s="169"/>
      <c r="BI59" s="169"/>
      <c r="BJ59" s="169"/>
      <c r="BK59" s="169"/>
      <c r="BL59" s="169"/>
      <c r="BM59" s="169"/>
      <c r="BN59" s="169"/>
      <c r="BO59" s="169"/>
      <c r="BP59" s="169"/>
      <c r="BQ59" s="169"/>
      <c r="BR59" s="169"/>
      <c r="BS59" s="169"/>
      <c r="BT59" s="169"/>
      <c r="BU59" s="169"/>
      <c r="BV59" s="169"/>
      <c r="BW59" s="169"/>
      <c r="BX59" s="169"/>
      <c r="BY59" s="169"/>
      <c r="BZ59" s="169"/>
      <c r="CA59" s="169"/>
      <c r="CB59" s="169"/>
      <c r="CC59" s="169"/>
      <c r="CD59" s="169"/>
      <c r="CE59" s="168"/>
      <c r="CF59" s="166"/>
      <c r="CG59" s="166"/>
      <c r="CH59" s="166"/>
      <c r="CI59" s="166"/>
      <c r="CJ59" s="168"/>
      <c r="CK59">
        <v>0</v>
      </c>
      <c r="CL59">
        <v>0</v>
      </c>
      <c r="CM59">
        <v>0</v>
      </c>
      <c r="CN59">
        <v>0</v>
      </c>
      <c r="CO59">
        <v>0</v>
      </c>
      <c r="CP59">
        <v>0</v>
      </c>
      <c r="CQ59">
        <v>0</v>
      </c>
      <c r="CR59">
        <v>0</v>
      </c>
      <c r="CS59">
        <v>0</v>
      </c>
      <c r="CT59">
        <v>0</v>
      </c>
      <c r="CU59">
        <v>0</v>
      </c>
      <c r="CV59">
        <v>0</v>
      </c>
      <c r="CW59">
        <v>0</v>
      </c>
      <c r="CX59">
        <v>0</v>
      </c>
      <c r="CY59">
        <v>0</v>
      </c>
      <c r="CZ59">
        <v>0</v>
      </c>
      <c r="DA59">
        <v>0</v>
      </c>
      <c r="DB59">
        <v>0</v>
      </c>
      <c r="DC59">
        <v>0</v>
      </c>
      <c r="DD59">
        <v>0</v>
      </c>
      <c r="DE59">
        <v>0</v>
      </c>
      <c r="DF59">
        <v>0</v>
      </c>
      <c r="DG59">
        <v>0</v>
      </c>
      <c r="DH59">
        <v>0</v>
      </c>
      <c r="DI59">
        <v>0</v>
      </c>
      <c r="DJ59">
        <v>0</v>
      </c>
      <c r="DK59">
        <v>0</v>
      </c>
      <c r="DL59">
        <v>0</v>
      </c>
      <c r="DM59">
        <v>0</v>
      </c>
      <c r="DN59">
        <v>0</v>
      </c>
      <c r="DO59">
        <v>0</v>
      </c>
      <c r="DP59">
        <v>0</v>
      </c>
      <c r="DQ59">
        <v>0</v>
      </c>
      <c r="DR59">
        <v>12814.051915519667</v>
      </c>
    </row>
    <row r="60" spans="1:122">
      <c r="A60" s="192"/>
      <c r="B60" s="193"/>
      <c r="C60" s="168"/>
      <c r="D60" s="167"/>
      <c r="E60" s="168"/>
      <c r="F60" s="168"/>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69"/>
      <c r="BR60" s="169"/>
      <c r="BS60" s="169"/>
      <c r="BT60" s="169"/>
      <c r="BU60" s="169"/>
      <c r="BV60" s="169"/>
      <c r="BW60" s="169"/>
      <c r="BX60" s="169"/>
      <c r="BY60" s="169"/>
      <c r="BZ60" s="169"/>
      <c r="CA60" s="169"/>
      <c r="CB60" s="169"/>
      <c r="CC60" s="169"/>
      <c r="CD60" s="169"/>
      <c r="CE60" s="168"/>
      <c r="CF60" s="166"/>
      <c r="CG60" s="166"/>
      <c r="CH60" s="166"/>
      <c r="CI60" s="166"/>
      <c r="CJ60" s="168"/>
      <c r="CK60">
        <v>0</v>
      </c>
      <c r="CL60">
        <v>0</v>
      </c>
      <c r="CM60">
        <v>0</v>
      </c>
      <c r="CN60">
        <v>0</v>
      </c>
      <c r="CO60">
        <v>0</v>
      </c>
      <c r="CP60">
        <v>0</v>
      </c>
      <c r="CQ60">
        <v>0</v>
      </c>
      <c r="CR60">
        <v>0</v>
      </c>
      <c r="CS60">
        <v>0</v>
      </c>
      <c r="CT60">
        <v>0</v>
      </c>
      <c r="CU60">
        <v>0</v>
      </c>
      <c r="CV60">
        <v>0</v>
      </c>
      <c r="CW60">
        <v>0</v>
      </c>
      <c r="CX60">
        <v>0</v>
      </c>
      <c r="CY60">
        <v>0</v>
      </c>
      <c r="CZ60">
        <v>0</v>
      </c>
      <c r="DA60">
        <v>0</v>
      </c>
      <c r="DB60">
        <v>0</v>
      </c>
      <c r="DC60">
        <v>0</v>
      </c>
      <c r="DD60">
        <v>0</v>
      </c>
      <c r="DE60">
        <v>0</v>
      </c>
      <c r="DF60">
        <v>0</v>
      </c>
      <c r="DG60">
        <v>0</v>
      </c>
      <c r="DH60">
        <v>0</v>
      </c>
      <c r="DI60">
        <v>0</v>
      </c>
      <c r="DJ60">
        <v>0</v>
      </c>
      <c r="DK60">
        <v>0</v>
      </c>
      <c r="DL60">
        <v>0</v>
      </c>
      <c r="DM60">
        <v>0</v>
      </c>
      <c r="DN60">
        <v>0</v>
      </c>
      <c r="DO60">
        <v>0</v>
      </c>
      <c r="DP60">
        <v>0</v>
      </c>
      <c r="DQ60">
        <v>0</v>
      </c>
      <c r="DR60">
        <v>186530.57056584788</v>
      </c>
    </row>
    <row r="61" spans="1:122">
      <c r="A61" s="192"/>
      <c r="B61" s="193"/>
      <c r="C61" s="168"/>
      <c r="D61" s="167"/>
      <c r="E61" s="168"/>
      <c r="F61" s="168"/>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H61" s="169"/>
      <c r="BI61" s="169"/>
      <c r="BJ61" s="169"/>
      <c r="BK61" s="169"/>
      <c r="BL61" s="169"/>
      <c r="BM61" s="169"/>
      <c r="BN61" s="169"/>
      <c r="BO61" s="169"/>
      <c r="BP61" s="169"/>
      <c r="BQ61" s="169"/>
      <c r="BR61" s="169"/>
      <c r="BS61" s="169"/>
      <c r="BT61" s="169"/>
      <c r="BU61" s="169"/>
      <c r="BV61" s="169"/>
      <c r="BW61" s="169"/>
      <c r="BX61" s="169"/>
      <c r="BY61" s="169"/>
      <c r="BZ61" s="169"/>
      <c r="CA61" s="169"/>
      <c r="CB61" s="169"/>
      <c r="CC61" s="169"/>
      <c r="CD61" s="169"/>
      <c r="CE61" s="168"/>
      <c r="CF61" s="166"/>
      <c r="CG61" s="166"/>
      <c r="CH61" s="166"/>
      <c r="CI61" s="166"/>
      <c r="CJ61" s="168"/>
      <c r="CK61">
        <v>0</v>
      </c>
      <c r="CL61">
        <v>0</v>
      </c>
      <c r="CM61">
        <v>0</v>
      </c>
      <c r="CN61">
        <v>0</v>
      </c>
      <c r="CO61">
        <v>0</v>
      </c>
      <c r="CP61">
        <v>0</v>
      </c>
      <c r="CQ61">
        <v>0</v>
      </c>
      <c r="CR61">
        <v>0</v>
      </c>
      <c r="CS61">
        <v>0</v>
      </c>
      <c r="CT61">
        <v>0</v>
      </c>
      <c r="CU61">
        <v>0</v>
      </c>
      <c r="CV61">
        <v>0</v>
      </c>
      <c r="CW61">
        <v>0</v>
      </c>
      <c r="CX61">
        <v>0</v>
      </c>
      <c r="CY61">
        <v>0</v>
      </c>
      <c r="CZ61">
        <v>0</v>
      </c>
      <c r="DA61">
        <v>0</v>
      </c>
      <c r="DB61">
        <v>0</v>
      </c>
      <c r="DC61">
        <v>0</v>
      </c>
      <c r="DD61">
        <v>0</v>
      </c>
      <c r="DE61">
        <v>0</v>
      </c>
      <c r="DF61">
        <v>0</v>
      </c>
      <c r="DG61">
        <v>0</v>
      </c>
      <c r="DH61">
        <v>0</v>
      </c>
      <c r="DI61">
        <v>0</v>
      </c>
      <c r="DJ61">
        <v>0</v>
      </c>
      <c r="DK61">
        <v>0</v>
      </c>
      <c r="DL61">
        <v>0</v>
      </c>
      <c r="DM61">
        <v>0</v>
      </c>
      <c r="DN61">
        <v>0</v>
      </c>
      <c r="DO61">
        <v>0</v>
      </c>
      <c r="DP61">
        <v>0</v>
      </c>
      <c r="DQ61">
        <v>0</v>
      </c>
      <c r="DR61">
        <v>172542.50123062645</v>
      </c>
    </row>
    <row r="62" spans="1:122">
      <c r="A62" s="192"/>
      <c r="B62" s="193"/>
      <c r="C62" s="168"/>
      <c r="D62" s="167"/>
      <c r="E62" s="168"/>
      <c r="F62" s="168"/>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c r="BK62" s="169"/>
      <c r="BL62" s="169"/>
      <c r="BM62" s="169"/>
      <c r="BN62" s="169"/>
      <c r="BO62" s="169"/>
      <c r="BP62" s="169"/>
      <c r="BQ62" s="169"/>
      <c r="BR62" s="169"/>
      <c r="BS62" s="169"/>
      <c r="BT62" s="169"/>
      <c r="BU62" s="169"/>
      <c r="BV62" s="169"/>
      <c r="BW62" s="169"/>
      <c r="BX62" s="169"/>
      <c r="BY62" s="169"/>
      <c r="BZ62" s="169"/>
      <c r="CA62" s="169"/>
      <c r="CB62" s="169"/>
      <c r="CC62" s="169"/>
      <c r="CD62" s="169"/>
      <c r="CE62" s="168"/>
      <c r="CF62" s="166"/>
      <c r="CG62" s="166"/>
      <c r="CH62" s="166"/>
      <c r="CI62" s="166"/>
      <c r="CJ62" s="168"/>
      <c r="CK62">
        <v>0</v>
      </c>
      <c r="CL62">
        <v>0</v>
      </c>
      <c r="CM62">
        <v>0</v>
      </c>
      <c r="CN62">
        <v>0</v>
      </c>
      <c r="CO62">
        <v>0</v>
      </c>
      <c r="CP62">
        <v>0</v>
      </c>
      <c r="CQ62">
        <v>0</v>
      </c>
      <c r="CR62">
        <v>0</v>
      </c>
      <c r="CS62">
        <v>0</v>
      </c>
      <c r="CT62">
        <v>0</v>
      </c>
      <c r="CU62">
        <v>0</v>
      </c>
      <c r="CV62">
        <v>0</v>
      </c>
      <c r="CW62">
        <v>0</v>
      </c>
      <c r="CX62">
        <v>0</v>
      </c>
      <c r="CY62">
        <v>0</v>
      </c>
      <c r="CZ62">
        <v>0</v>
      </c>
      <c r="DA62">
        <v>0</v>
      </c>
      <c r="DB62">
        <v>0</v>
      </c>
      <c r="DC62">
        <v>0</v>
      </c>
      <c r="DD62">
        <v>0</v>
      </c>
      <c r="DE62">
        <v>0</v>
      </c>
      <c r="DF62">
        <v>0</v>
      </c>
      <c r="DG62">
        <v>0</v>
      </c>
      <c r="DH62">
        <v>0</v>
      </c>
      <c r="DI62">
        <v>0</v>
      </c>
      <c r="DJ62">
        <v>0</v>
      </c>
      <c r="DK62">
        <v>0</v>
      </c>
      <c r="DL62">
        <v>0</v>
      </c>
      <c r="DM62">
        <v>0</v>
      </c>
      <c r="DN62">
        <v>0</v>
      </c>
      <c r="DO62">
        <v>0</v>
      </c>
      <c r="DP62">
        <v>0</v>
      </c>
      <c r="DQ62">
        <v>0</v>
      </c>
      <c r="DR62">
        <v>116548.79614783154</v>
      </c>
    </row>
    <row r="63" spans="1:122">
      <c r="A63" s="192"/>
      <c r="B63" s="193"/>
      <c r="C63" s="168"/>
      <c r="D63" s="167"/>
      <c r="E63" s="168"/>
      <c r="F63" s="168"/>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H63" s="169"/>
      <c r="BI63" s="169"/>
      <c r="BJ63" s="169"/>
      <c r="BK63" s="169"/>
      <c r="BL63" s="169"/>
      <c r="BM63" s="169"/>
      <c r="BN63" s="169"/>
      <c r="BO63" s="169"/>
      <c r="BP63" s="169"/>
      <c r="BQ63" s="169"/>
      <c r="BR63" s="169"/>
      <c r="BS63" s="169"/>
      <c r="BT63" s="169"/>
      <c r="BU63" s="169"/>
      <c r="BV63" s="169"/>
      <c r="BW63" s="169"/>
      <c r="BX63" s="169"/>
      <c r="BY63" s="169"/>
      <c r="BZ63" s="169"/>
      <c r="CA63" s="169"/>
      <c r="CB63" s="169"/>
      <c r="CC63" s="169"/>
      <c r="CD63" s="169"/>
      <c r="CE63" s="168"/>
      <c r="CF63" s="166"/>
      <c r="CG63" s="166"/>
      <c r="CH63" s="166"/>
      <c r="CI63" s="166"/>
      <c r="CJ63" s="168"/>
      <c r="CK63">
        <v>0</v>
      </c>
      <c r="CL63">
        <v>0</v>
      </c>
      <c r="CM63">
        <v>0</v>
      </c>
      <c r="CN63">
        <v>0</v>
      </c>
      <c r="CO63">
        <v>0</v>
      </c>
      <c r="CP63">
        <v>0</v>
      </c>
      <c r="CQ63">
        <v>0</v>
      </c>
      <c r="CR63">
        <v>0</v>
      </c>
      <c r="CS63">
        <v>0</v>
      </c>
      <c r="CT63">
        <v>0</v>
      </c>
      <c r="CU63">
        <v>0</v>
      </c>
      <c r="CV63">
        <v>0</v>
      </c>
      <c r="CW63">
        <v>0</v>
      </c>
      <c r="CX63">
        <v>0</v>
      </c>
      <c r="CY63">
        <v>0</v>
      </c>
      <c r="CZ63">
        <v>0</v>
      </c>
      <c r="DA63">
        <v>0</v>
      </c>
      <c r="DB63">
        <v>0</v>
      </c>
      <c r="DC63">
        <v>0</v>
      </c>
      <c r="DD63">
        <v>0</v>
      </c>
      <c r="DE63">
        <v>0</v>
      </c>
      <c r="DF63">
        <v>0</v>
      </c>
      <c r="DG63">
        <v>0</v>
      </c>
      <c r="DH63">
        <v>0</v>
      </c>
      <c r="DI63">
        <v>0</v>
      </c>
      <c r="DJ63">
        <v>0</v>
      </c>
      <c r="DK63">
        <v>0</v>
      </c>
      <c r="DL63">
        <v>0</v>
      </c>
      <c r="DM63">
        <v>0</v>
      </c>
      <c r="DN63">
        <v>0</v>
      </c>
      <c r="DO63">
        <v>0</v>
      </c>
      <c r="DP63">
        <v>0</v>
      </c>
      <c r="DQ63">
        <v>0</v>
      </c>
      <c r="DR63">
        <v>843137.54491109389</v>
      </c>
    </row>
    <row r="64" spans="1:122">
      <c r="A64" s="192"/>
      <c r="B64" s="193"/>
      <c r="C64" s="168"/>
      <c r="D64" s="167"/>
      <c r="E64" s="168"/>
      <c r="F64" s="168"/>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69"/>
      <c r="BR64" s="169"/>
      <c r="BS64" s="169"/>
      <c r="BT64" s="169"/>
      <c r="BU64" s="169"/>
      <c r="BV64" s="169"/>
      <c r="BW64" s="169"/>
      <c r="BX64" s="169"/>
      <c r="BY64" s="169"/>
      <c r="BZ64" s="169"/>
      <c r="CA64" s="169"/>
      <c r="CB64" s="169"/>
      <c r="CC64" s="169"/>
      <c r="CD64" s="169"/>
      <c r="CE64" s="168"/>
      <c r="CF64" s="166"/>
      <c r="CG64" s="166"/>
      <c r="CH64" s="166"/>
      <c r="CI64" s="166"/>
      <c r="CJ64" s="168"/>
      <c r="CK64">
        <v>0</v>
      </c>
      <c r="CL64">
        <v>0</v>
      </c>
      <c r="CM64">
        <v>0</v>
      </c>
      <c r="CN64">
        <v>0</v>
      </c>
      <c r="CO64">
        <v>0</v>
      </c>
      <c r="CP64">
        <v>0</v>
      </c>
      <c r="CQ64">
        <v>0</v>
      </c>
      <c r="CR64">
        <v>0</v>
      </c>
      <c r="CS64">
        <v>0</v>
      </c>
      <c r="CT64">
        <v>0</v>
      </c>
      <c r="CU64">
        <v>0</v>
      </c>
      <c r="CV64">
        <v>0</v>
      </c>
      <c r="CW64">
        <v>0</v>
      </c>
      <c r="CX64">
        <v>0</v>
      </c>
      <c r="CY64">
        <v>0</v>
      </c>
      <c r="CZ64">
        <v>0</v>
      </c>
      <c r="DA64">
        <v>0</v>
      </c>
      <c r="DB64">
        <v>0</v>
      </c>
      <c r="DC64">
        <v>0</v>
      </c>
      <c r="DD64">
        <v>0</v>
      </c>
      <c r="DE64">
        <v>0</v>
      </c>
      <c r="DF64">
        <v>0</v>
      </c>
      <c r="DG64">
        <v>0</v>
      </c>
      <c r="DH64">
        <v>0</v>
      </c>
      <c r="DI64">
        <v>0</v>
      </c>
      <c r="DJ64">
        <v>0</v>
      </c>
      <c r="DK64">
        <v>0</v>
      </c>
      <c r="DL64">
        <v>0</v>
      </c>
      <c r="DM64">
        <v>0</v>
      </c>
      <c r="DN64">
        <v>0</v>
      </c>
      <c r="DO64">
        <v>0</v>
      </c>
      <c r="DP64">
        <v>0</v>
      </c>
      <c r="DQ64">
        <v>0</v>
      </c>
      <c r="DR64">
        <v>-5310.3902895030478</v>
      </c>
    </row>
    <row r="65" spans="1:122">
      <c r="A65" s="192"/>
      <c r="B65" s="193"/>
      <c r="C65" s="168"/>
      <c r="D65" s="167"/>
      <c r="E65" s="168"/>
      <c r="F65" s="168"/>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169"/>
      <c r="BL65" s="169"/>
      <c r="BM65" s="169"/>
      <c r="BN65" s="169"/>
      <c r="BO65" s="169"/>
      <c r="BP65" s="169"/>
      <c r="BQ65" s="169"/>
      <c r="BR65" s="169"/>
      <c r="BS65" s="169"/>
      <c r="BT65" s="169"/>
      <c r="BU65" s="169"/>
      <c r="BV65" s="169"/>
      <c r="BW65" s="169"/>
      <c r="BX65" s="169"/>
      <c r="BY65" s="169"/>
      <c r="BZ65" s="169"/>
      <c r="CA65" s="169"/>
      <c r="CB65" s="169"/>
      <c r="CC65" s="169"/>
      <c r="CD65" s="169"/>
      <c r="CE65" s="168"/>
      <c r="CF65" s="166"/>
      <c r="CG65" s="166"/>
      <c r="CH65" s="166"/>
      <c r="CI65" s="166"/>
      <c r="CJ65" s="168"/>
      <c r="CK65">
        <v>0</v>
      </c>
      <c r="CL65">
        <v>0</v>
      </c>
      <c r="CM65">
        <v>0</v>
      </c>
      <c r="CN65">
        <v>0</v>
      </c>
      <c r="CO65">
        <v>0</v>
      </c>
      <c r="CP65">
        <v>0</v>
      </c>
      <c r="CQ65">
        <v>0</v>
      </c>
      <c r="CR65">
        <v>0</v>
      </c>
      <c r="CS65">
        <v>0</v>
      </c>
      <c r="CT65">
        <v>0</v>
      </c>
      <c r="CU65">
        <v>0</v>
      </c>
      <c r="CV65">
        <v>0</v>
      </c>
      <c r="CW65">
        <v>0</v>
      </c>
      <c r="CX65">
        <v>0</v>
      </c>
      <c r="CY65">
        <v>0</v>
      </c>
      <c r="CZ65">
        <v>0</v>
      </c>
      <c r="DA65">
        <v>0</v>
      </c>
      <c r="DB65">
        <v>0</v>
      </c>
      <c r="DC65">
        <v>0</v>
      </c>
      <c r="DD65">
        <v>0</v>
      </c>
      <c r="DE65">
        <v>0</v>
      </c>
      <c r="DF65">
        <v>0</v>
      </c>
      <c r="DG65">
        <v>0</v>
      </c>
      <c r="DH65">
        <v>0</v>
      </c>
      <c r="DI65">
        <v>0</v>
      </c>
      <c r="DJ65">
        <v>0</v>
      </c>
      <c r="DK65">
        <v>0</v>
      </c>
      <c r="DL65">
        <v>0</v>
      </c>
      <c r="DM65">
        <v>0</v>
      </c>
      <c r="DN65">
        <v>0</v>
      </c>
      <c r="DO65">
        <v>0</v>
      </c>
      <c r="DP65">
        <v>0</v>
      </c>
      <c r="DQ65">
        <v>0</v>
      </c>
      <c r="DR65">
        <v>690901.35900552792</v>
      </c>
    </row>
    <row r="66" spans="1:122">
      <c r="A66" s="192"/>
      <c r="B66" s="193"/>
      <c r="C66" s="168"/>
      <c r="D66" s="167"/>
      <c r="E66" s="168"/>
      <c r="F66" s="168"/>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69"/>
      <c r="BR66" s="169"/>
      <c r="BS66" s="169"/>
      <c r="BT66" s="169"/>
      <c r="BU66" s="169"/>
      <c r="BV66" s="169"/>
      <c r="BW66" s="169"/>
      <c r="BX66" s="169"/>
      <c r="BY66" s="169"/>
      <c r="BZ66" s="169"/>
      <c r="CA66" s="169"/>
      <c r="CB66" s="169"/>
      <c r="CC66" s="169"/>
      <c r="CD66" s="169"/>
      <c r="CE66" s="168"/>
      <c r="CF66" s="166"/>
      <c r="CG66" s="166"/>
      <c r="CH66" s="166"/>
      <c r="CI66" s="166"/>
      <c r="CJ66" s="168"/>
      <c r="CK66">
        <v>0</v>
      </c>
      <c r="CL66">
        <v>0</v>
      </c>
      <c r="CM66">
        <v>0</v>
      </c>
      <c r="CN66">
        <v>0</v>
      </c>
      <c r="CO66">
        <v>0</v>
      </c>
      <c r="CP66">
        <v>0</v>
      </c>
      <c r="CQ66">
        <v>0</v>
      </c>
      <c r="CR66">
        <v>0</v>
      </c>
      <c r="CS66">
        <v>0</v>
      </c>
      <c r="CT66">
        <v>0</v>
      </c>
      <c r="CU66">
        <v>0</v>
      </c>
      <c r="CV66">
        <v>0</v>
      </c>
      <c r="CW66">
        <v>0</v>
      </c>
      <c r="CX66">
        <v>0</v>
      </c>
      <c r="CY66">
        <v>0</v>
      </c>
      <c r="CZ66">
        <v>0</v>
      </c>
      <c r="DA66">
        <v>0</v>
      </c>
      <c r="DB66">
        <v>0</v>
      </c>
      <c r="DC66">
        <v>0</v>
      </c>
      <c r="DD66">
        <v>0</v>
      </c>
      <c r="DE66">
        <v>0</v>
      </c>
      <c r="DF66">
        <v>0</v>
      </c>
      <c r="DG66">
        <v>0</v>
      </c>
      <c r="DH66">
        <v>0</v>
      </c>
      <c r="DI66">
        <v>0</v>
      </c>
      <c r="DJ66">
        <v>0</v>
      </c>
      <c r="DK66">
        <v>0</v>
      </c>
      <c r="DL66">
        <v>0</v>
      </c>
      <c r="DM66">
        <v>0</v>
      </c>
      <c r="DN66">
        <v>0</v>
      </c>
      <c r="DO66">
        <v>0</v>
      </c>
      <c r="DP66">
        <v>0</v>
      </c>
      <c r="DQ66">
        <v>0</v>
      </c>
      <c r="DR66">
        <v>-172415.44762744711</v>
      </c>
    </row>
    <row r="67" spans="1:122">
      <c r="A67" s="192"/>
      <c r="B67" s="193"/>
      <c r="C67" s="168"/>
      <c r="D67" s="167"/>
      <c r="E67" s="168"/>
      <c r="F67" s="168"/>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69"/>
      <c r="BB67" s="169"/>
      <c r="BC67" s="169"/>
      <c r="BD67" s="169"/>
      <c r="BE67" s="169"/>
      <c r="BF67" s="169"/>
      <c r="BG67" s="169"/>
      <c r="BH67" s="169"/>
      <c r="BI67" s="169"/>
      <c r="BJ67" s="169"/>
      <c r="BK67" s="169"/>
      <c r="BL67" s="169"/>
      <c r="BM67" s="169"/>
      <c r="BN67" s="169"/>
      <c r="BO67" s="169"/>
      <c r="BP67" s="169"/>
      <c r="BQ67" s="169"/>
      <c r="BR67" s="169"/>
      <c r="BS67" s="169"/>
      <c r="BT67" s="169"/>
      <c r="BU67" s="169"/>
      <c r="BV67" s="169"/>
      <c r="BW67" s="169"/>
      <c r="BX67" s="169"/>
      <c r="BY67" s="169"/>
      <c r="BZ67" s="169"/>
      <c r="CA67" s="169"/>
      <c r="CB67" s="169"/>
      <c r="CC67" s="169"/>
      <c r="CD67" s="169"/>
      <c r="CE67" s="168"/>
      <c r="CF67" s="166"/>
      <c r="CG67" s="166"/>
      <c r="CH67" s="166"/>
      <c r="CI67" s="166"/>
      <c r="CJ67" s="168"/>
    </row>
    <row r="68" spans="1:122">
      <c r="A68" s="196"/>
      <c r="B68" s="197"/>
      <c r="C68" s="168"/>
      <c r="D68" s="168"/>
      <c r="E68" s="168"/>
      <c r="F68" s="16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c r="BC68" s="198"/>
      <c r="BD68" s="198"/>
      <c r="BE68" s="198"/>
      <c r="BF68" s="198"/>
      <c r="BG68" s="198"/>
      <c r="BH68" s="198"/>
      <c r="BI68" s="198"/>
      <c r="BJ68" s="198"/>
      <c r="BK68" s="198"/>
      <c r="BL68" s="198"/>
      <c r="BM68" s="198"/>
      <c r="BN68" s="198"/>
      <c r="BO68" s="198"/>
      <c r="BP68" s="198"/>
      <c r="BQ68" s="198"/>
      <c r="BR68" s="198"/>
      <c r="BS68" s="198"/>
      <c r="BT68" s="198"/>
      <c r="BU68" s="198"/>
      <c r="BV68" s="198"/>
      <c r="BW68" s="198"/>
      <c r="BX68" s="198"/>
      <c r="BY68" s="198"/>
      <c r="BZ68" s="198"/>
      <c r="CA68" s="198"/>
      <c r="CB68" s="198"/>
      <c r="CC68" s="198"/>
      <c r="CD68" s="198"/>
      <c r="CE68" s="198"/>
      <c r="CF68" s="204"/>
      <c r="CG68" s="204"/>
      <c r="CH68" s="204"/>
      <c r="CI68" s="204"/>
      <c r="CJ68" s="198"/>
    </row>
    <row r="69" spans="1:122">
      <c r="A69" s="199" t="s">
        <v>228</v>
      </c>
      <c r="B69" s="128" t="s">
        <v>214</v>
      </c>
      <c r="C69" t="s">
        <v>229</v>
      </c>
      <c r="E69" t="s">
        <v>231</v>
      </c>
      <c r="F69" t="s">
        <v>232</v>
      </c>
      <c r="G69" t="s">
        <v>19</v>
      </c>
      <c r="H69" t="s">
        <v>21</v>
      </c>
      <c r="I69" t="s">
        <v>23</v>
      </c>
      <c r="J69" t="s">
        <v>270</v>
      </c>
      <c r="K69" t="s">
        <v>25</v>
      </c>
      <c r="L69" t="s">
        <v>27</v>
      </c>
      <c r="M69" t="s">
        <v>29</v>
      </c>
      <c r="N69" t="s">
        <v>284</v>
      </c>
      <c r="O69" t="s">
        <v>285</v>
      </c>
      <c r="P69" t="s">
        <v>31</v>
      </c>
      <c r="Q69" t="s">
        <v>33</v>
      </c>
      <c r="R69" t="s">
        <v>35</v>
      </c>
      <c r="S69" t="s">
        <v>37</v>
      </c>
      <c r="T69" t="s">
        <v>39</v>
      </c>
      <c r="U69" t="s">
        <v>41</v>
      </c>
      <c r="V69" t="s">
        <v>274</v>
      </c>
      <c r="W69" t="s">
        <v>275</v>
      </c>
      <c r="X69" t="s">
        <v>276</v>
      </c>
      <c r="Y69" t="s">
        <v>277</v>
      </c>
      <c r="AA69" t="s">
        <v>45</v>
      </c>
      <c r="AB69" t="s">
        <v>47</v>
      </c>
      <c r="AC69" t="s">
        <v>49</v>
      </c>
      <c r="AD69" t="s">
        <v>51</v>
      </c>
      <c r="AE69" t="s">
        <v>53</v>
      </c>
      <c r="AF69" t="s">
        <v>55</v>
      </c>
      <c r="AG69" t="s">
        <v>57</v>
      </c>
      <c r="AH69" t="s">
        <v>59</v>
      </c>
      <c r="AI69" t="s">
        <v>61</v>
      </c>
      <c r="AJ69" t="s">
        <v>63</v>
      </c>
      <c r="AK69" t="s">
        <v>65</v>
      </c>
      <c r="AL69" t="s">
        <v>67</v>
      </c>
      <c r="AM69" t="s">
        <v>69</v>
      </c>
      <c r="AN69" t="s">
        <v>71</v>
      </c>
      <c r="AO69" t="s">
        <v>73</v>
      </c>
      <c r="AP69" t="s">
        <v>75</v>
      </c>
      <c r="AQ69" t="s">
        <v>77</v>
      </c>
      <c r="AR69" t="s">
        <v>79</v>
      </c>
      <c r="AS69" t="s">
        <v>81</v>
      </c>
      <c r="AT69" t="s">
        <v>83</v>
      </c>
      <c r="AU69" t="s">
        <v>85</v>
      </c>
      <c r="AV69" t="s">
        <v>87</v>
      </c>
      <c r="AW69" t="s">
        <v>89</v>
      </c>
      <c r="AX69" t="s">
        <v>91</v>
      </c>
      <c r="AY69" t="s">
        <v>93</v>
      </c>
      <c r="AZ69" t="s">
        <v>95</v>
      </c>
      <c r="BA69" t="s">
        <v>97</v>
      </c>
      <c r="BB69" t="s">
        <v>282</v>
      </c>
      <c r="BC69" t="s">
        <v>283</v>
      </c>
      <c r="BD69" t="s">
        <v>99</v>
      </c>
      <c r="BE69" t="s">
        <v>101</v>
      </c>
      <c r="BJ69" t="s">
        <v>109</v>
      </c>
      <c r="BK69" t="s">
        <v>111</v>
      </c>
      <c r="BL69" t="s">
        <v>113</v>
      </c>
      <c r="BN69" t="s">
        <v>117</v>
      </c>
      <c r="BO69" t="s">
        <v>119</v>
      </c>
      <c r="BP69" t="s">
        <v>121</v>
      </c>
      <c r="BQ69" t="s">
        <v>123</v>
      </c>
      <c r="BV69" t="s">
        <v>131</v>
      </c>
      <c r="BW69" t="s">
        <v>133</v>
      </c>
      <c r="BY69" t="s">
        <v>137</v>
      </c>
      <c r="BZ69" t="s">
        <v>139</v>
      </c>
      <c r="CE69" t="s">
        <v>146</v>
      </c>
      <c r="CF69" s="126" t="s">
        <v>148</v>
      </c>
      <c r="CG69" s="126" t="s">
        <v>150</v>
      </c>
      <c r="CH69" s="126" t="s">
        <v>152</v>
      </c>
      <c r="CI69" s="126" t="s">
        <v>154</v>
      </c>
    </row>
    <row r="70" spans="1:122">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199"/>
      <c r="AU70" s="199"/>
      <c r="AV70" s="199"/>
      <c r="AW70" s="199"/>
      <c r="AX70" s="199"/>
      <c r="AY70" s="199"/>
      <c r="AZ70" s="199"/>
      <c r="BA70" s="199"/>
      <c r="BB70" s="199"/>
      <c r="BC70" s="199"/>
      <c r="BD70" s="199"/>
      <c r="BE70" s="199"/>
      <c r="BF70" s="199"/>
      <c r="BG70" s="199"/>
      <c r="BH70" s="199"/>
      <c r="BI70" s="199"/>
      <c r="BJ70" s="199"/>
      <c r="BK70" s="199"/>
      <c r="BL70" s="199"/>
      <c r="BM70" s="199"/>
      <c r="BN70" s="199"/>
      <c r="BO70" s="199"/>
      <c r="BP70" s="199"/>
      <c r="BQ70" s="199"/>
      <c r="BR70" s="199"/>
      <c r="BS70" s="199"/>
      <c r="BT70" s="199"/>
      <c r="BU70" s="199"/>
      <c r="BV70" s="199"/>
      <c r="BW70" s="199"/>
      <c r="BX70" s="199"/>
      <c r="BY70" s="199"/>
      <c r="BZ70" s="199"/>
      <c r="CA70" s="199"/>
      <c r="CB70" s="199"/>
      <c r="CC70" s="199"/>
      <c r="CD70" s="199"/>
    </row>
    <row r="72" spans="1:122">
      <c r="AL72" t="s">
        <v>324</v>
      </c>
      <c r="AM72">
        <v>226.82021330351429</v>
      </c>
      <c r="AO72" t="s">
        <v>75</v>
      </c>
      <c r="AP72">
        <v>7.15474034</v>
      </c>
    </row>
    <row r="74" spans="1:122">
      <c r="AP74">
        <v>4.6711914400000012</v>
      </c>
    </row>
    <row r="75" spans="1:122">
      <c r="AP75">
        <v>2.4835488999999988</v>
      </c>
      <c r="BB75" s="170"/>
    </row>
  </sheetData>
  <conditionalFormatting sqref="K11:O11">
    <cfRule type="cellIs" dxfId="9" priority="1" operator="lessThanOrEqual">
      <formula>0</formula>
    </cfRule>
    <cfRule type="cellIs" dxfId="8" priority="2" operator="lessThan">
      <formula>0</formula>
    </cfRule>
  </conditionalFormatting>
  <conditionalFormatting sqref="M11:O11">
    <cfRule type="cellIs" dxfId="7" priority="3" operator="between">
      <formula>0</formula>
      <formula>0</formula>
    </cfRule>
  </conditionalFormatting>
  <dataValidations count="1">
    <dataValidation type="list" allowBlank="1" showInputMessage="1" showErrorMessage="1" sqref="R11:S11" xr:uid="{00000000-0002-0000-0200-000000000000}">
      <formula1>$X$1:$X$2</formula1>
    </dataValidation>
  </dataValidations>
  <pageMargins left="0.7" right="0.7" top="0.75" bottom="0.75" header="0.3" footer="0.3"/>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sheetPr>
  <dimension ref="A1:T210"/>
  <sheetViews>
    <sheetView zoomScale="90" zoomScaleNormal="90" workbookViewId="0">
      <pane xSplit="3" ySplit="7" topLeftCell="D8" activePane="bottomRight" state="frozen"/>
      <selection pane="topRight" activeCell="D1" sqref="D1"/>
      <selection pane="bottomLeft" activeCell="A6" sqref="A6"/>
      <selection pane="bottomRight" activeCell="D37" sqref="D37"/>
    </sheetView>
  </sheetViews>
  <sheetFormatPr defaultColWidth="8.81640625" defaultRowHeight="14"/>
  <cols>
    <col min="1" max="1" width="11.26953125" style="164" customWidth="1"/>
    <col min="2" max="2" width="8" style="164" bestFit="1" customWidth="1"/>
    <col min="3" max="3" width="13.81640625" style="164" customWidth="1"/>
    <col min="4" max="4" width="49.7265625" style="164" customWidth="1"/>
    <col min="5" max="5" width="17.1796875" style="164" customWidth="1"/>
    <col min="6" max="6" width="13.7265625" style="164" customWidth="1"/>
    <col min="7" max="7" width="1.26953125" style="164" customWidth="1"/>
    <col min="8" max="10" width="13" style="164" bestFit="1" customWidth="1"/>
    <col min="11" max="12" width="11.453125" style="164" bestFit="1" customWidth="1"/>
    <col min="13" max="13" width="9" style="164" bestFit="1" customWidth="1"/>
    <col min="14" max="14" width="10.26953125" style="164" bestFit="1" customWidth="1"/>
    <col min="15" max="15" width="12.7265625" style="164" bestFit="1" customWidth="1"/>
    <col min="16" max="16" width="9" style="164" bestFit="1" customWidth="1"/>
    <col min="17" max="18" width="11.54296875" style="164" bestFit="1" customWidth="1"/>
    <col min="19" max="19" width="10.26953125" style="164" bestFit="1" customWidth="1"/>
    <col min="20" max="20" width="14.1796875" style="164" bestFit="1" customWidth="1"/>
    <col min="21" max="16384" width="8.81640625" style="164"/>
  </cols>
  <sheetData>
    <row r="1" spans="1:20" customFormat="1" ht="14.5">
      <c r="A1" s="122" t="s">
        <v>795</v>
      </c>
      <c r="B1" s="122"/>
    </row>
    <row r="2" spans="1:20" customFormat="1" ht="14.5">
      <c r="A2">
        <v>1</v>
      </c>
      <c r="B2">
        <v>2</v>
      </c>
      <c r="C2">
        <v>3</v>
      </c>
      <c r="D2">
        <v>4</v>
      </c>
      <c r="E2">
        <v>5</v>
      </c>
      <c r="F2">
        <v>6</v>
      </c>
      <c r="G2">
        <v>7</v>
      </c>
      <c r="H2">
        <v>8</v>
      </c>
      <c r="I2">
        <v>9</v>
      </c>
      <c r="J2">
        <v>10</v>
      </c>
      <c r="K2">
        <v>11</v>
      </c>
      <c r="L2">
        <v>12</v>
      </c>
      <c r="M2">
        <v>13</v>
      </c>
      <c r="N2">
        <v>14</v>
      </c>
      <c r="O2">
        <v>15</v>
      </c>
      <c r="P2">
        <v>16</v>
      </c>
      <c r="Q2">
        <v>17</v>
      </c>
      <c r="R2">
        <v>18</v>
      </c>
      <c r="S2">
        <v>19</v>
      </c>
      <c r="T2">
        <v>20</v>
      </c>
    </row>
    <row r="3" spans="1:20" customFormat="1" ht="14.5">
      <c r="D3" s="229"/>
      <c r="G3" s="283"/>
    </row>
    <row r="4" spans="1:20" customFormat="1" ht="14.5">
      <c r="A4" s="246" t="s">
        <v>796</v>
      </c>
      <c r="B4" s="246"/>
      <c r="C4" s="246"/>
      <c r="D4" s="229"/>
      <c r="G4" s="283"/>
    </row>
    <row r="5" spans="1:20" customFormat="1" ht="14.5">
      <c r="D5" s="229"/>
      <c r="G5" s="283"/>
    </row>
    <row r="6" spans="1:20" customFormat="1" ht="15" thickBot="1">
      <c r="G6" s="283"/>
      <c r="H6" t="s">
        <v>794</v>
      </c>
    </row>
    <row r="7" spans="1:20" customFormat="1" ht="24.75" customHeight="1" thickBot="1">
      <c r="A7" s="285" t="s">
        <v>530</v>
      </c>
      <c r="B7" s="286" t="s">
        <v>531</v>
      </c>
      <c r="C7" s="287" t="s">
        <v>232</v>
      </c>
      <c r="D7" s="288" t="s">
        <v>532</v>
      </c>
      <c r="E7" s="287" t="s">
        <v>533</v>
      </c>
      <c r="F7" s="288" t="s">
        <v>534</v>
      </c>
      <c r="G7" s="283"/>
      <c r="H7" t="s">
        <v>19</v>
      </c>
      <c r="I7" t="s">
        <v>21</v>
      </c>
      <c r="J7" t="s">
        <v>23</v>
      </c>
      <c r="K7" t="s">
        <v>25</v>
      </c>
      <c r="L7" t="s">
        <v>27</v>
      </c>
      <c r="M7" t="s">
        <v>29</v>
      </c>
      <c r="N7" t="s">
        <v>1041</v>
      </c>
      <c r="O7" t="s">
        <v>77</v>
      </c>
      <c r="P7" t="s">
        <v>87</v>
      </c>
      <c r="Q7" t="s">
        <v>89</v>
      </c>
      <c r="R7" t="s">
        <v>97</v>
      </c>
      <c r="S7" t="s">
        <v>1042</v>
      </c>
      <c r="T7" t="s">
        <v>1043</v>
      </c>
    </row>
    <row r="8" spans="1:20" customFormat="1" ht="17.25" customHeight="1">
      <c r="A8" s="235" t="s">
        <v>4</v>
      </c>
      <c r="B8" s="235"/>
      <c r="C8" s="235"/>
      <c r="D8" s="610" t="s">
        <v>1</v>
      </c>
      <c r="E8" s="236"/>
      <c r="F8" s="236"/>
      <c r="G8" s="283"/>
      <c r="H8" s="676">
        <v>0</v>
      </c>
      <c r="I8" s="676">
        <v>0</v>
      </c>
      <c r="J8" s="676">
        <v>0</v>
      </c>
      <c r="K8" s="676">
        <v>0</v>
      </c>
      <c r="L8" s="676">
        <v>0</v>
      </c>
      <c r="M8" s="676">
        <v>0</v>
      </c>
      <c r="N8" s="676">
        <v>0</v>
      </c>
      <c r="O8" s="676">
        <v>0</v>
      </c>
      <c r="P8" s="676">
        <v>0</v>
      </c>
      <c r="Q8" s="676">
        <v>0</v>
      </c>
      <c r="R8" s="676">
        <v>0</v>
      </c>
      <c r="S8" s="676">
        <v>0</v>
      </c>
      <c r="T8" s="676">
        <v>0</v>
      </c>
    </row>
    <row r="9" spans="1:20" customFormat="1" ht="17.25" customHeight="1">
      <c r="A9" s="235">
        <v>1027</v>
      </c>
      <c r="B9" s="235">
        <v>103140</v>
      </c>
      <c r="C9" s="235" t="s">
        <v>603</v>
      </c>
      <c r="D9" s="610" t="s">
        <v>393</v>
      </c>
      <c r="E9" s="236" t="s">
        <v>536</v>
      </c>
      <c r="F9" s="236" t="s">
        <v>537</v>
      </c>
      <c r="G9" s="283"/>
      <c r="H9" s="676">
        <v>504487.75937755313</v>
      </c>
      <c r="I9" s="676">
        <v>0</v>
      </c>
      <c r="J9" s="676">
        <v>47279.12977894739</v>
      </c>
      <c r="K9" s="676">
        <v>0</v>
      </c>
      <c r="L9" s="676">
        <v>0</v>
      </c>
      <c r="M9" s="676">
        <v>0</v>
      </c>
      <c r="N9" s="676">
        <v>0</v>
      </c>
      <c r="O9" s="676">
        <v>0</v>
      </c>
      <c r="P9" s="676">
        <v>0</v>
      </c>
      <c r="Q9" s="676">
        <v>-3291.75</v>
      </c>
      <c r="R9" s="676">
        <v>0</v>
      </c>
      <c r="S9" s="676">
        <v>4897.75</v>
      </c>
      <c r="T9" s="676">
        <v>553372.88915650058</v>
      </c>
    </row>
    <row r="10" spans="1:20" customFormat="1" ht="17.25" customHeight="1">
      <c r="A10" s="235">
        <v>2010</v>
      </c>
      <c r="B10" s="235">
        <v>103159</v>
      </c>
      <c r="C10" s="235" t="s">
        <v>601</v>
      </c>
      <c r="D10" s="610" t="s">
        <v>391</v>
      </c>
      <c r="E10" s="236" t="s">
        <v>539</v>
      </c>
      <c r="F10" s="236" t="s">
        <v>537</v>
      </c>
      <c r="G10" s="283"/>
      <c r="H10" s="676">
        <v>2055441.204605696</v>
      </c>
      <c r="I10" s="676">
        <v>0</v>
      </c>
      <c r="J10" s="676">
        <v>4280.333333333333</v>
      </c>
      <c r="K10" s="676">
        <v>185586</v>
      </c>
      <c r="L10" s="676">
        <v>45094.86</v>
      </c>
      <c r="M10" s="676">
        <v>0</v>
      </c>
      <c r="N10" s="676">
        <v>0</v>
      </c>
      <c r="O10" s="676">
        <v>-35377.29</v>
      </c>
      <c r="P10" s="676">
        <v>0</v>
      </c>
      <c r="Q10" s="676">
        <v>-11313</v>
      </c>
      <c r="R10" s="676">
        <v>-8195.6400000000012</v>
      </c>
      <c r="S10" s="676">
        <v>8736.25</v>
      </c>
      <c r="T10" s="676">
        <v>2244252.717939029</v>
      </c>
    </row>
    <row r="11" spans="1:20" customFormat="1" ht="14.5">
      <c r="A11" s="235">
        <v>5949</v>
      </c>
      <c r="B11" s="235">
        <v>131465</v>
      </c>
      <c r="C11" s="235" t="s">
        <v>605</v>
      </c>
      <c r="D11" s="168" t="s">
        <v>395</v>
      </c>
      <c r="E11" s="236" t="s">
        <v>539</v>
      </c>
      <c r="F11" s="236" t="s">
        <v>537</v>
      </c>
      <c r="G11" s="283"/>
      <c r="H11" s="676">
        <v>2836199.421937908</v>
      </c>
      <c r="I11" s="676">
        <v>0</v>
      </c>
      <c r="J11" s="676">
        <v>47783.33666666667</v>
      </c>
      <c r="K11" s="676">
        <v>223262</v>
      </c>
      <c r="L11" s="676">
        <v>98596.64</v>
      </c>
      <c r="M11" s="676">
        <v>0</v>
      </c>
      <c r="N11" s="676">
        <v>7379.56</v>
      </c>
      <c r="O11" s="676">
        <v>-55380.307500000003</v>
      </c>
      <c r="P11" s="676">
        <v>-6.66</v>
      </c>
      <c r="Q11" s="676">
        <v>-18745.650000000001</v>
      </c>
      <c r="R11" s="676">
        <v>-12342.359999999999</v>
      </c>
      <c r="S11" s="676">
        <v>11065</v>
      </c>
      <c r="T11" s="676">
        <v>3137810.9811045751</v>
      </c>
    </row>
    <row r="12" spans="1:20" customFormat="1" ht="14.5">
      <c r="A12" s="235">
        <v>1017</v>
      </c>
      <c r="B12" s="235">
        <v>103130</v>
      </c>
      <c r="C12" s="235" t="s">
        <v>535</v>
      </c>
      <c r="D12" s="168" t="s">
        <v>331</v>
      </c>
      <c r="E12" s="236" t="s">
        <v>536</v>
      </c>
      <c r="F12" s="236" t="s">
        <v>537</v>
      </c>
      <c r="G12" s="283"/>
      <c r="H12" s="676">
        <v>812212.80957328156</v>
      </c>
      <c r="I12" s="676">
        <v>0</v>
      </c>
      <c r="J12" s="676">
        <v>41085.603484210529</v>
      </c>
      <c r="K12" s="676">
        <v>0</v>
      </c>
      <c r="L12" s="676">
        <v>0</v>
      </c>
      <c r="M12" s="676">
        <v>0</v>
      </c>
      <c r="N12" s="676">
        <v>0</v>
      </c>
      <c r="O12" s="676">
        <v>0</v>
      </c>
      <c r="P12" s="676">
        <v>0</v>
      </c>
      <c r="Q12" s="676">
        <v>-3291.75</v>
      </c>
      <c r="R12" s="676">
        <v>0</v>
      </c>
      <c r="S12" s="676">
        <v>0</v>
      </c>
      <c r="T12" s="676">
        <v>850006.66305749211</v>
      </c>
    </row>
    <row r="13" spans="1:20" customFormat="1" ht="14.5">
      <c r="A13" s="235">
        <v>2153</v>
      </c>
      <c r="B13" s="235">
        <v>103243</v>
      </c>
      <c r="C13" s="235" t="s">
        <v>690</v>
      </c>
      <c r="D13" s="168" t="s">
        <v>480</v>
      </c>
      <c r="E13" s="236" t="s">
        <v>539</v>
      </c>
      <c r="F13" s="236" t="s">
        <v>537</v>
      </c>
      <c r="G13" s="283"/>
      <c r="H13" s="676">
        <v>2144410.9353793645</v>
      </c>
      <c r="I13" s="676">
        <v>0</v>
      </c>
      <c r="J13" s="676">
        <v>435911.66800000001</v>
      </c>
      <c r="K13" s="676">
        <v>188932</v>
      </c>
      <c r="L13" s="676">
        <v>48289</v>
      </c>
      <c r="M13" s="676">
        <v>0</v>
      </c>
      <c r="N13" s="676">
        <v>6056.93</v>
      </c>
      <c r="O13" s="676">
        <v>-18531.337499999998</v>
      </c>
      <c r="P13" s="676">
        <v>-2.3400000000000034</v>
      </c>
      <c r="Q13" s="676">
        <v>-9471</v>
      </c>
      <c r="R13" s="676">
        <v>-7804.44</v>
      </c>
      <c r="S13" s="676">
        <v>0</v>
      </c>
      <c r="T13" s="676">
        <v>2787791.4158793651</v>
      </c>
    </row>
    <row r="14" spans="1:20" customFormat="1" ht="14.5">
      <c r="A14" s="235">
        <v>2062</v>
      </c>
      <c r="B14" s="235">
        <v>103192</v>
      </c>
      <c r="C14" s="235" t="s">
        <v>606</v>
      </c>
      <c r="D14" s="168" t="s">
        <v>396</v>
      </c>
      <c r="E14" s="236" t="s">
        <v>539</v>
      </c>
      <c r="F14" s="236" t="s">
        <v>537</v>
      </c>
      <c r="G14" s="283"/>
      <c r="H14" s="676">
        <v>2037499.6143403749</v>
      </c>
      <c r="I14" s="676">
        <v>0</v>
      </c>
      <c r="J14" s="676">
        <v>158041.12666666665</v>
      </c>
      <c r="K14" s="676">
        <v>159990</v>
      </c>
      <c r="L14" s="676">
        <v>62929.86</v>
      </c>
      <c r="M14" s="676">
        <v>0</v>
      </c>
      <c r="N14" s="676">
        <v>5852.64</v>
      </c>
      <c r="O14" s="676">
        <v>-36491.947500000009</v>
      </c>
      <c r="P14" s="676">
        <v>-2.8700000000000045</v>
      </c>
      <c r="Q14" s="676">
        <v>-9471</v>
      </c>
      <c r="R14" s="676">
        <v>-7687.079999999999</v>
      </c>
      <c r="S14" s="676">
        <v>8835.25</v>
      </c>
      <c r="T14" s="676">
        <v>2379495.5935070412</v>
      </c>
    </row>
    <row r="15" spans="1:20" customFormat="1" ht="14.5">
      <c r="A15" s="235">
        <v>2479</v>
      </c>
      <c r="B15" s="235">
        <v>132074</v>
      </c>
      <c r="C15" s="235" t="s">
        <v>691</v>
      </c>
      <c r="D15" s="168" t="s">
        <v>481</v>
      </c>
      <c r="E15" s="236" t="s">
        <v>539</v>
      </c>
      <c r="F15" s="236" t="s">
        <v>537</v>
      </c>
      <c r="G15" s="283"/>
      <c r="H15" s="676">
        <v>3221842.1428261246</v>
      </c>
      <c r="I15" s="676">
        <v>0</v>
      </c>
      <c r="J15" s="676">
        <v>221662.20416666666</v>
      </c>
      <c r="K15" s="676">
        <v>272700</v>
      </c>
      <c r="L15" s="676">
        <v>94353.219999999987</v>
      </c>
      <c r="M15" s="676">
        <v>0</v>
      </c>
      <c r="N15" s="676">
        <v>5041.3599999999997</v>
      </c>
      <c r="O15" s="676">
        <v>-23452.357500000006</v>
      </c>
      <c r="P15" s="676">
        <v>-2.5</v>
      </c>
      <c r="Q15" s="676">
        <v>-18745.650000000001</v>
      </c>
      <c r="R15" s="676">
        <v>-12244.559999999998</v>
      </c>
      <c r="S15" s="676">
        <v>11998.75</v>
      </c>
      <c r="T15" s="676">
        <v>3773152.6094927914</v>
      </c>
    </row>
    <row r="16" spans="1:20" customFormat="1" ht="14.5">
      <c r="A16" s="235">
        <v>2300</v>
      </c>
      <c r="B16" s="235">
        <v>103324</v>
      </c>
      <c r="C16" s="235" t="s">
        <v>538</v>
      </c>
      <c r="D16" s="168" t="s">
        <v>332</v>
      </c>
      <c r="E16" s="236" t="s">
        <v>539</v>
      </c>
      <c r="F16" s="236" t="s">
        <v>537</v>
      </c>
      <c r="G16" s="283"/>
      <c r="H16" s="676">
        <v>3130120.0054276106</v>
      </c>
      <c r="I16" s="676">
        <v>0</v>
      </c>
      <c r="J16" s="676">
        <v>176965.01</v>
      </c>
      <c r="K16" s="676">
        <v>263610</v>
      </c>
      <c r="L16" s="676">
        <v>95288.29</v>
      </c>
      <c r="M16" s="676">
        <v>0</v>
      </c>
      <c r="N16" s="676">
        <v>0</v>
      </c>
      <c r="O16" s="676">
        <v>-60669.817500000005</v>
      </c>
      <c r="P16" s="676">
        <v>0</v>
      </c>
      <c r="Q16" s="676">
        <v>-18745.650000000001</v>
      </c>
      <c r="R16" s="676">
        <v>-12498.84</v>
      </c>
      <c r="S16" s="676">
        <v>0</v>
      </c>
      <c r="T16" s="676">
        <v>3574068.9979276112</v>
      </c>
    </row>
    <row r="17" spans="1:20" customFormat="1" ht="14.5">
      <c r="A17" s="235">
        <v>7016</v>
      </c>
      <c r="B17" s="235">
        <v>103606</v>
      </c>
      <c r="C17" s="235" t="s">
        <v>540</v>
      </c>
      <c r="D17" s="168" t="s">
        <v>333</v>
      </c>
      <c r="E17" s="236" t="s">
        <v>541</v>
      </c>
      <c r="F17" s="236" t="s">
        <v>537</v>
      </c>
      <c r="G17" s="283"/>
      <c r="H17" s="676">
        <v>1550869.9573913044</v>
      </c>
      <c r="I17" s="676">
        <v>0</v>
      </c>
      <c r="J17" s="676">
        <v>3491121.5827226583</v>
      </c>
      <c r="K17" s="676">
        <v>36724</v>
      </c>
      <c r="L17" s="676">
        <v>0</v>
      </c>
      <c r="M17" s="676">
        <v>0</v>
      </c>
      <c r="N17" s="676">
        <v>0</v>
      </c>
      <c r="O17" s="676">
        <v>0</v>
      </c>
      <c r="P17" s="676">
        <v>0</v>
      </c>
      <c r="Q17" s="676">
        <v>-5076</v>
      </c>
      <c r="R17" s="676">
        <v>0</v>
      </c>
      <c r="S17" s="676">
        <v>13365.63</v>
      </c>
      <c r="T17" s="676">
        <v>5087005.1701139631</v>
      </c>
    </row>
    <row r="18" spans="1:20" customFormat="1" ht="14.5">
      <c r="A18" s="235">
        <v>2017</v>
      </c>
      <c r="B18" s="235">
        <v>103164</v>
      </c>
      <c r="C18" s="235" t="s">
        <v>609</v>
      </c>
      <c r="D18" s="168" t="s">
        <v>399</v>
      </c>
      <c r="E18" s="236" t="s">
        <v>539</v>
      </c>
      <c r="F18" s="236" t="s">
        <v>537</v>
      </c>
      <c r="G18" s="283"/>
      <c r="H18" s="676">
        <v>1383306.2733788637</v>
      </c>
      <c r="I18" s="676">
        <v>0</v>
      </c>
      <c r="J18" s="676">
        <v>128039.32833333334</v>
      </c>
      <c r="K18" s="676">
        <v>71204</v>
      </c>
      <c r="L18" s="676">
        <v>76573.600000000006</v>
      </c>
      <c r="M18" s="676">
        <v>0</v>
      </c>
      <c r="N18" s="676">
        <v>1221.83</v>
      </c>
      <c r="O18" s="676">
        <v>-21305.872500000001</v>
      </c>
      <c r="P18" s="676">
        <v>-1.72</v>
      </c>
      <c r="Q18" s="676">
        <v>-5139.75</v>
      </c>
      <c r="R18" s="676">
        <v>-5183.3999999999996</v>
      </c>
      <c r="S18" s="676">
        <v>0</v>
      </c>
      <c r="T18" s="676">
        <v>1628714.2892121973</v>
      </c>
    </row>
    <row r="19" spans="1:20" customFormat="1" ht="14.5">
      <c r="A19" s="235">
        <v>2016</v>
      </c>
      <c r="B19" s="235">
        <v>103163</v>
      </c>
      <c r="C19" s="235" t="s">
        <v>610</v>
      </c>
      <c r="D19" s="168" t="s">
        <v>400</v>
      </c>
      <c r="E19" s="236" t="s">
        <v>539</v>
      </c>
      <c r="F19" s="236" t="s">
        <v>537</v>
      </c>
      <c r="G19" s="283"/>
      <c r="H19" s="676">
        <v>1778123.498125969</v>
      </c>
      <c r="I19" s="676">
        <v>0</v>
      </c>
      <c r="J19" s="676">
        <v>95071.34</v>
      </c>
      <c r="K19" s="676">
        <v>123830</v>
      </c>
      <c r="L19" s="676">
        <v>21432.86</v>
      </c>
      <c r="M19" s="676">
        <v>0</v>
      </c>
      <c r="N19" s="676">
        <v>2530.29</v>
      </c>
      <c r="O19" s="676">
        <v>-31958.804999999997</v>
      </c>
      <c r="P19" s="676">
        <v>-2.69</v>
      </c>
      <c r="Q19" s="676">
        <v>-9471</v>
      </c>
      <c r="R19" s="676">
        <v>-7022.0399999999991</v>
      </c>
      <c r="S19" s="676">
        <v>0</v>
      </c>
      <c r="T19" s="676">
        <v>1972533.4531259693</v>
      </c>
    </row>
    <row r="20" spans="1:20" customFormat="1" ht="14.5">
      <c r="A20" s="235">
        <v>2239</v>
      </c>
      <c r="B20" s="235">
        <v>103289</v>
      </c>
      <c r="C20" s="235" t="s">
        <v>692</v>
      </c>
      <c r="D20" s="168" t="s">
        <v>482</v>
      </c>
      <c r="E20" s="236" t="s">
        <v>539</v>
      </c>
      <c r="F20" s="236" t="s">
        <v>537</v>
      </c>
      <c r="G20" s="283"/>
      <c r="H20" s="676">
        <v>916297.28663653077</v>
      </c>
      <c r="I20" s="676">
        <v>0</v>
      </c>
      <c r="J20" s="676">
        <v>73504.624912280706</v>
      </c>
      <c r="K20" s="676">
        <v>55472</v>
      </c>
      <c r="L20" s="676">
        <v>44967.57</v>
      </c>
      <c r="M20" s="676">
        <v>0</v>
      </c>
      <c r="N20" s="676">
        <v>1483.17</v>
      </c>
      <c r="O20" s="676">
        <v>-8329.2000000000025</v>
      </c>
      <c r="P20" s="676">
        <v>-4.38</v>
      </c>
      <c r="Q20" s="676">
        <v>-3291.75</v>
      </c>
      <c r="R20" s="676">
        <v>-2875.3199999999997</v>
      </c>
      <c r="S20" s="676">
        <v>6191.5</v>
      </c>
      <c r="T20" s="676">
        <v>1083415.5015488116</v>
      </c>
    </row>
    <row r="21" spans="1:20" customFormat="1" ht="14.5">
      <c r="A21" s="235">
        <v>2241</v>
      </c>
      <c r="B21" s="235">
        <v>103291</v>
      </c>
      <c r="C21" s="235" t="s">
        <v>611</v>
      </c>
      <c r="D21" s="168" t="s">
        <v>401</v>
      </c>
      <c r="E21" s="236" t="s">
        <v>539</v>
      </c>
      <c r="F21" s="236" t="s">
        <v>537</v>
      </c>
      <c r="G21" s="283"/>
      <c r="H21" s="676">
        <v>1202631.7433686566</v>
      </c>
      <c r="I21" s="676">
        <v>0</v>
      </c>
      <c r="J21" s="676">
        <v>72751.39</v>
      </c>
      <c r="K21" s="676">
        <v>110336</v>
      </c>
      <c r="L21" s="676">
        <v>26125.35</v>
      </c>
      <c r="M21" s="676">
        <v>0</v>
      </c>
      <c r="N21" s="676">
        <v>0</v>
      </c>
      <c r="O21" s="676">
        <v>-11041.0425</v>
      </c>
      <c r="P21" s="676">
        <v>0</v>
      </c>
      <c r="Q21" s="676">
        <v>-5139.75</v>
      </c>
      <c r="R21" s="676">
        <v>-4772.6399999999985</v>
      </c>
      <c r="S21" s="676">
        <v>6756.25</v>
      </c>
      <c r="T21" s="676">
        <v>1397647.3008686567</v>
      </c>
    </row>
    <row r="22" spans="1:20" customFormat="1" ht="14.5">
      <c r="A22" s="235">
        <v>5413</v>
      </c>
      <c r="B22" s="235">
        <v>103560</v>
      </c>
      <c r="C22" s="235" t="s">
        <v>542</v>
      </c>
      <c r="D22" s="168" t="s">
        <v>334</v>
      </c>
      <c r="E22" s="236" t="s">
        <v>543</v>
      </c>
      <c r="F22" s="236" t="s">
        <v>537</v>
      </c>
      <c r="G22" s="283"/>
      <c r="H22" s="676">
        <v>5738766.596867566</v>
      </c>
      <c r="I22" s="676">
        <v>1210007.9366666663</v>
      </c>
      <c r="J22" s="676">
        <v>81343.169999999984</v>
      </c>
      <c r="K22" s="676">
        <v>210644</v>
      </c>
      <c r="L22" s="676">
        <v>13785.48</v>
      </c>
      <c r="M22" s="676">
        <v>0</v>
      </c>
      <c r="N22" s="676">
        <v>0</v>
      </c>
      <c r="O22" s="676">
        <v>-65703.172500000001</v>
      </c>
      <c r="P22" s="676">
        <v>0</v>
      </c>
      <c r="Q22" s="676">
        <v>0</v>
      </c>
      <c r="R22" s="676">
        <v>-14991.817499999999</v>
      </c>
      <c r="S22" s="676">
        <v>0</v>
      </c>
      <c r="T22" s="676">
        <v>7173852.1935342327</v>
      </c>
    </row>
    <row r="23" spans="1:20" customFormat="1" ht="14.5">
      <c r="A23" s="235">
        <v>1025</v>
      </c>
      <c r="B23" s="235">
        <v>103138</v>
      </c>
      <c r="C23" s="235" t="s">
        <v>614</v>
      </c>
      <c r="D23" s="168" t="s">
        <v>404</v>
      </c>
      <c r="E23" s="236" t="s">
        <v>536</v>
      </c>
      <c r="F23" s="236" t="s">
        <v>537</v>
      </c>
      <c r="G23" s="283"/>
      <c r="H23" s="676">
        <v>689570.37315656384</v>
      </c>
      <c r="I23" s="676">
        <v>0</v>
      </c>
      <c r="J23" s="676">
        <v>43048.357168421047</v>
      </c>
      <c r="K23" s="676">
        <v>0</v>
      </c>
      <c r="L23" s="676">
        <v>0</v>
      </c>
      <c r="M23" s="676">
        <v>0</v>
      </c>
      <c r="N23" s="676">
        <v>5188.72</v>
      </c>
      <c r="O23" s="676">
        <v>0</v>
      </c>
      <c r="P23" s="676">
        <v>-18.560000000000002</v>
      </c>
      <c r="Q23" s="676">
        <v>-3291.75</v>
      </c>
      <c r="R23" s="676">
        <v>0</v>
      </c>
      <c r="S23" s="676">
        <v>4924.75</v>
      </c>
      <c r="T23" s="676">
        <v>739421.89032498479</v>
      </c>
    </row>
    <row r="24" spans="1:20" customFormat="1" ht="14.5">
      <c r="A24" s="235">
        <v>2402</v>
      </c>
      <c r="B24" s="235">
        <v>103342</v>
      </c>
      <c r="C24" s="235" t="s">
        <v>544</v>
      </c>
      <c r="D24" s="168" t="s">
        <v>335</v>
      </c>
      <c r="E24" s="236" t="s">
        <v>539</v>
      </c>
      <c r="F24" s="236" t="s">
        <v>537</v>
      </c>
      <c r="G24" s="283"/>
      <c r="H24" s="676">
        <v>1294245.6691212503</v>
      </c>
      <c r="I24" s="676">
        <v>0</v>
      </c>
      <c r="J24" s="676">
        <v>274407.28833333333</v>
      </c>
      <c r="K24" s="676">
        <v>40776</v>
      </c>
      <c r="L24" s="676">
        <v>124879</v>
      </c>
      <c r="M24" s="676">
        <v>0</v>
      </c>
      <c r="N24" s="676">
        <v>0</v>
      </c>
      <c r="O24" s="676">
        <v>-13559.175000000003</v>
      </c>
      <c r="P24" s="676">
        <v>0</v>
      </c>
      <c r="Q24" s="676">
        <v>-5139.75</v>
      </c>
      <c r="R24" s="676">
        <v>-5339.8799999999983</v>
      </c>
      <c r="S24" s="676">
        <v>7497.63</v>
      </c>
      <c r="T24" s="676">
        <v>1717766.7824545836</v>
      </c>
    </row>
    <row r="25" spans="1:20" customFormat="1" ht="14.5">
      <c r="A25" s="235">
        <v>2401</v>
      </c>
      <c r="B25" s="235">
        <v>103341</v>
      </c>
      <c r="C25" s="235" t="s">
        <v>545</v>
      </c>
      <c r="D25" s="168" t="s">
        <v>336</v>
      </c>
      <c r="E25" s="236" t="s">
        <v>539</v>
      </c>
      <c r="F25" s="236" t="s">
        <v>537</v>
      </c>
      <c r="G25" s="283"/>
      <c r="H25" s="676">
        <v>1486192</v>
      </c>
      <c r="I25" s="676">
        <v>0</v>
      </c>
      <c r="J25" s="676">
        <v>79272.866666666669</v>
      </c>
      <c r="K25" s="676">
        <v>56676</v>
      </c>
      <c r="L25" s="676">
        <v>19015.93</v>
      </c>
      <c r="M25" s="676">
        <v>0</v>
      </c>
      <c r="N25" s="676">
        <v>0</v>
      </c>
      <c r="O25" s="676">
        <v>-15786.750000000002</v>
      </c>
      <c r="P25" s="676">
        <v>0</v>
      </c>
      <c r="Q25" s="676">
        <v>-9471</v>
      </c>
      <c r="R25" s="676">
        <v>-7452.36</v>
      </c>
      <c r="S25" s="676">
        <v>8286.25</v>
      </c>
      <c r="T25" s="676">
        <v>1616732.9366666665</v>
      </c>
    </row>
    <row r="26" spans="1:20" customFormat="1" ht="14.5">
      <c r="A26" s="235">
        <v>4115</v>
      </c>
      <c r="B26" s="235">
        <v>103493</v>
      </c>
      <c r="C26" s="235" t="s">
        <v>546</v>
      </c>
      <c r="D26" s="168" t="s">
        <v>337</v>
      </c>
      <c r="E26" s="236" t="s">
        <v>543</v>
      </c>
      <c r="F26" s="236" t="s">
        <v>537</v>
      </c>
      <c r="G26" s="283"/>
      <c r="H26" s="676">
        <v>4179964.9590870701</v>
      </c>
      <c r="I26" s="676">
        <v>1836165.1566666663</v>
      </c>
      <c r="J26" s="676">
        <v>217181.36583333334</v>
      </c>
      <c r="K26" s="676">
        <v>192424</v>
      </c>
      <c r="L26" s="676">
        <v>2285.15</v>
      </c>
      <c r="M26" s="676">
        <v>0</v>
      </c>
      <c r="N26" s="676">
        <v>0</v>
      </c>
      <c r="O26" s="676">
        <v>-64213.43250000001</v>
      </c>
      <c r="P26" s="676">
        <v>0</v>
      </c>
      <c r="Q26" s="676">
        <v>-18745.650000000001</v>
      </c>
      <c r="R26" s="676">
        <v>-9526.5224999999991</v>
      </c>
      <c r="S26" s="676">
        <v>22126.560000000001</v>
      </c>
      <c r="T26" s="676">
        <v>6357661.5865870696</v>
      </c>
    </row>
    <row r="27" spans="1:20" customFormat="1" ht="14.5">
      <c r="A27" s="235">
        <v>2030</v>
      </c>
      <c r="B27" s="235">
        <v>103172</v>
      </c>
      <c r="C27" s="235" t="s">
        <v>547</v>
      </c>
      <c r="D27" s="168" t="s">
        <v>338</v>
      </c>
      <c r="E27" s="236" t="s">
        <v>539</v>
      </c>
      <c r="F27" s="236" t="s">
        <v>537</v>
      </c>
      <c r="G27" s="283"/>
      <c r="H27" s="676">
        <v>2992851.2371033244</v>
      </c>
      <c r="I27" s="676">
        <v>0</v>
      </c>
      <c r="J27" s="676">
        <v>57736.493333333332</v>
      </c>
      <c r="K27" s="676">
        <v>224976</v>
      </c>
      <c r="L27" s="676">
        <v>77997</v>
      </c>
      <c r="M27" s="676">
        <v>0</v>
      </c>
      <c r="N27" s="676">
        <v>0</v>
      </c>
      <c r="O27" s="676">
        <v>-25042.350000000002</v>
      </c>
      <c r="P27" s="676">
        <v>0</v>
      </c>
      <c r="Q27" s="676">
        <v>-17415</v>
      </c>
      <c r="R27" s="676">
        <v>-12107.64</v>
      </c>
      <c r="S27" s="676">
        <v>11416</v>
      </c>
      <c r="T27" s="676">
        <v>3310411.7404366573</v>
      </c>
    </row>
    <row r="28" spans="1:20" customFormat="1" ht="14.5">
      <c r="A28" s="235">
        <v>3353</v>
      </c>
      <c r="B28" s="235">
        <v>103445</v>
      </c>
      <c r="C28" s="235" t="s">
        <v>615</v>
      </c>
      <c r="D28" s="168" t="s">
        <v>405</v>
      </c>
      <c r="E28" s="236" t="s">
        <v>539</v>
      </c>
      <c r="F28" s="236" t="s">
        <v>537</v>
      </c>
      <c r="G28" s="283"/>
      <c r="H28" s="676">
        <v>2508634.5936000003</v>
      </c>
      <c r="I28" s="676">
        <v>0</v>
      </c>
      <c r="J28" s="676">
        <v>72831.44</v>
      </c>
      <c r="K28" s="676">
        <v>92752</v>
      </c>
      <c r="L28" s="676">
        <v>147629.93</v>
      </c>
      <c r="M28" s="676">
        <v>0</v>
      </c>
      <c r="N28" s="676">
        <v>0</v>
      </c>
      <c r="O28" s="676">
        <v>-8413.6350000000002</v>
      </c>
      <c r="P28" s="676">
        <v>0</v>
      </c>
      <c r="Q28" s="676">
        <v>-18745.650000000001</v>
      </c>
      <c r="R28" s="676">
        <v>-12713.999999999998</v>
      </c>
      <c r="S28" s="676">
        <v>0</v>
      </c>
      <c r="T28" s="676">
        <v>2781974.6786000007</v>
      </c>
    </row>
    <row r="29" spans="1:20" customFormat="1" ht="14.5">
      <c r="A29" s="235">
        <v>7030</v>
      </c>
      <c r="B29" s="235">
        <v>103611</v>
      </c>
      <c r="C29" s="235" t="s">
        <v>694</v>
      </c>
      <c r="D29" s="168" t="s">
        <v>484</v>
      </c>
      <c r="E29" s="236" t="s">
        <v>541</v>
      </c>
      <c r="F29" s="236" t="s">
        <v>537</v>
      </c>
      <c r="G29" s="283"/>
      <c r="H29" s="676">
        <v>620662.34503478266</v>
      </c>
      <c r="I29" s="676">
        <v>0</v>
      </c>
      <c r="J29" s="676">
        <v>907506.07964424661</v>
      </c>
      <c r="K29" s="676">
        <v>26040</v>
      </c>
      <c r="L29" s="676">
        <v>856.93</v>
      </c>
      <c r="M29" s="676">
        <v>0</v>
      </c>
      <c r="N29" s="676">
        <v>3086.64</v>
      </c>
      <c r="O29" s="676">
        <v>0</v>
      </c>
      <c r="P29" s="676">
        <v>-1.8799999999999955</v>
      </c>
      <c r="Q29" s="676">
        <v>-3291.75</v>
      </c>
      <c r="R29" s="676">
        <v>0</v>
      </c>
      <c r="S29" s="676">
        <v>8201.8799999999992</v>
      </c>
      <c r="T29" s="676">
        <v>1563060.2446790291</v>
      </c>
    </row>
    <row r="30" spans="1:20" customFormat="1" ht="14.5">
      <c r="A30" s="235">
        <v>1002</v>
      </c>
      <c r="B30" s="235">
        <v>103121</v>
      </c>
      <c r="C30" s="235" t="s">
        <v>616</v>
      </c>
      <c r="D30" s="168" t="s">
        <v>406</v>
      </c>
      <c r="E30" s="236" t="s">
        <v>536</v>
      </c>
      <c r="F30" s="236" t="s">
        <v>537</v>
      </c>
      <c r="G30" s="283"/>
      <c r="H30" s="676">
        <v>589046.32834974374</v>
      </c>
      <c r="I30" s="676">
        <v>0</v>
      </c>
      <c r="J30" s="676">
        <v>18532.754912280703</v>
      </c>
      <c r="K30" s="676">
        <v>0</v>
      </c>
      <c r="L30" s="676">
        <v>0</v>
      </c>
      <c r="M30" s="676">
        <v>0</v>
      </c>
      <c r="N30" s="676">
        <v>3693.2</v>
      </c>
      <c r="O30" s="676">
        <v>0</v>
      </c>
      <c r="P30" s="676">
        <v>-34.120000000000005</v>
      </c>
      <c r="Q30" s="676">
        <v>-3291.75</v>
      </c>
      <c r="R30" s="676">
        <v>0</v>
      </c>
      <c r="S30" s="676">
        <v>4850.5</v>
      </c>
      <c r="T30" s="676">
        <v>612796.91326202441</v>
      </c>
    </row>
    <row r="31" spans="1:20" customFormat="1" ht="14.5">
      <c r="A31" s="235">
        <v>2238</v>
      </c>
      <c r="B31" s="235">
        <v>103288</v>
      </c>
      <c r="C31" s="235" t="s">
        <v>548</v>
      </c>
      <c r="D31" s="168" t="s">
        <v>339</v>
      </c>
      <c r="E31" s="236" t="s">
        <v>539</v>
      </c>
      <c r="F31" s="236" t="s">
        <v>1000</v>
      </c>
      <c r="G31" s="283"/>
      <c r="H31" s="676">
        <v>348797.69700000016</v>
      </c>
      <c r="I31" s="676">
        <v>0</v>
      </c>
      <c r="J31" s="676">
        <v>0</v>
      </c>
      <c r="K31" s="676">
        <v>38166.67</v>
      </c>
      <c r="L31" s="676">
        <v>38428</v>
      </c>
      <c r="M31" s="676">
        <v>0</v>
      </c>
      <c r="N31" s="676">
        <v>0</v>
      </c>
      <c r="O31" s="676">
        <v>-13652.719999999998</v>
      </c>
      <c r="P31" s="676">
        <v>0</v>
      </c>
      <c r="Q31" s="676">
        <v>-822.94</v>
      </c>
      <c r="R31" s="676">
        <v>-1456.1333333333296</v>
      </c>
      <c r="S31" s="676">
        <v>6099.25</v>
      </c>
      <c r="T31" s="676">
        <v>415559.82366666687</v>
      </c>
    </row>
    <row r="32" spans="1:20" customFormat="1" ht="14.5">
      <c r="A32" s="235">
        <v>2236</v>
      </c>
      <c r="B32" s="235">
        <v>103286</v>
      </c>
      <c r="C32" s="235" t="s">
        <v>549</v>
      </c>
      <c r="D32" s="168" t="s">
        <v>340</v>
      </c>
      <c r="E32" s="236" t="s">
        <v>539</v>
      </c>
      <c r="F32" s="236" t="s">
        <v>1000</v>
      </c>
      <c r="G32" s="283"/>
      <c r="H32" s="676">
        <v>353940.255052489</v>
      </c>
      <c r="I32" s="676">
        <v>0</v>
      </c>
      <c r="J32" s="676">
        <v>0</v>
      </c>
      <c r="K32" s="676">
        <v>76818.75</v>
      </c>
      <c r="L32" s="676">
        <v>7587</v>
      </c>
      <c r="M32" s="676">
        <v>0</v>
      </c>
      <c r="N32" s="676">
        <v>0</v>
      </c>
      <c r="O32" s="676">
        <v>-16027.099999999999</v>
      </c>
      <c r="P32" s="676">
        <v>0</v>
      </c>
      <c r="Q32" s="676">
        <v>-1284.94</v>
      </c>
      <c r="R32" s="676">
        <v>-2390.6666666666697</v>
      </c>
      <c r="S32" s="676">
        <v>6486.25</v>
      </c>
      <c r="T32" s="676">
        <v>425129.54838582233</v>
      </c>
    </row>
    <row r="33" spans="1:20" customFormat="1" ht="14.5">
      <c r="A33" s="235">
        <v>2465</v>
      </c>
      <c r="B33" s="235">
        <v>103391</v>
      </c>
      <c r="C33" s="235" t="s">
        <v>695</v>
      </c>
      <c r="D33" s="168" t="s">
        <v>485</v>
      </c>
      <c r="E33" s="236" t="s">
        <v>539</v>
      </c>
      <c r="F33" s="236" t="s">
        <v>537</v>
      </c>
      <c r="G33" s="283"/>
      <c r="H33" s="676">
        <v>2165446.8788291211</v>
      </c>
      <c r="I33" s="676">
        <v>0</v>
      </c>
      <c r="J33" s="676">
        <v>80042.570999999996</v>
      </c>
      <c r="K33" s="676">
        <v>108480</v>
      </c>
      <c r="L33" s="676">
        <v>82998</v>
      </c>
      <c r="M33" s="676">
        <v>0</v>
      </c>
      <c r="N33" s="676">
        <v>2680.54</v>
      </c>
      <c r="O33" s="676">
        <v>-34524.877500000002</v>
      </c>
      <c r="P33" s="676">
        <v>-5.4</v>
      </c>
      <c r="Q33" s="676">
        <v>-9471</v>
      </c>
      <c r="R33" s="676">
        <v>-8176.0799999999981</v>
      </c>
      <c r="S33" s="676">
        <v>0</v>
      </c>
      <c r="T33" s="676">
        <v>2387470.6323291212</v>
      </c>
    </row>
    <row r="34" spans="1:20" customFormat="1" ht="14.5">
      <c r="A34" s="235">
        <v>4801</v>
      </c>
      <c r="B34" s="235">
        <v>103539</v>
      </c>
      <c r="C34" s="235" t="s">
        <v>550</v>
      </c>
      <c r="D34" s="168" t="s">
        <v>341</v>
      </c>
      <c r="E34" s="236" t="s">
        <v>543</v>
      </c>
      <c r="F34" s="236" t="s">
        <v>537</v>
      </c>
      <c r="G34" s="283"/>
      <c r="H34" s="676">
        <v>4840047.497347652</v>
      </c>
      <c r="I34" s="676">
        <v>0</v>
      </c>
      <c r="J34" s="676">
        <v>66476.800000000003</v>
      </c>
      <c r="K34" s="676">
        <v>216762</v>
      </c>
      <c r="L34" s="676">
        <v>5568.26</v>
      </c>
      <c r="M34" s="676">
        <v>0</v>
      </c>
      <c r="N34" s="676">
        <v>0</v>
      </c>
      <c r="O34" s="676">
        <v>-18523.395</v>
      </c>
      <c r="P34" s="676">
        <v>0</v>
      </c>
      <c r="Q34" s="676">
        <v>-24312.75</v>
      </c>
      <c r="R34" s="676">
        <v>-11851.537499999999</v>
      </c>
      <c r="S34" s="676">
        <v>0</v>
      </c>
      <c r="T34" s="676">
        <v>5074166.8748476524</v>
      </c>
    </row>
    <row r="35" spans="1:20" customFormat="1" ht="14.5">
      <c r="A35" s="235">
        <v>1048</v>
      </c>
      <c r="B35" s="235">
        <v>103144</v>
      </c>
      <c r="C35" s="235" t="s">
        <v>617</v>
      </c>
      <c r="D35" s="168" t="s">
        <v>407</v>
      </c>
      <c r="E35" s="236" t="s">
        <v>536</v>
      </c>
      <c r="F35" s="236" t="s">
        <v>537</v>
      </c>
      <c r="G35" s="283"/>
      <c r="H35" s="676">
        <v>779200.55956283119</v>
      </c>
      <c r="I35" s="676">
        <v>0</v>
      </c>
      <c r="J35" s="676">
        <v>55083.2279368421</v>
      </c>
      <c r="K35" s="676">
        <v>0</v>
      </c>
      <c r="L35" s="676">
        <v>0</v>
      </c>
      <c r="M35" s="676">
        <v>0</v>
      </c>
      <c r="N35" s="676">
        <v>4253.2</v>
      </c>
      <c r="O35" s="676">
        <v>0</v>
      </c>
      <c r="P35" s="676">
        <v>-1.9399999999999977</v>
      </c>
      <c r="Q35" s="676">
        <v>-3291.75</v>
      </c>
      <c r="R35" s="676">
        <v>0</v>
      </c>
      <c r="S35" s="676">
        <v>5228.5</v>
      </c>
      <c r="T35" s="676">
        <v>840471.79749967332</v>
      </c>
    </row>
    <row r="36" spans="1:20" customFormat="1" ht="14.5">
      <c r="A36" s="235">
        <v>2312</v>
      </c>
      <c r="B36" s="235">
        <v>103332</v>
      </c>
      <c r="C36" s="235" t="s">
        <v>551</v>
      </c>
      <c r="D36" s="168" t="s">
        <v>342</v>
      </c>
      <c r="E36" s="236" t="s">
        <v>539</v>
      </c>
      <c r="F36" s="236" t="s">
        <v>537</v>
      </c>
      <c r="G36" s="283"/>
      <c r="H36" s="676">
        <v>1689082.0303249999</v>
      </c>
      <c r="I36" s="676">
        <v>0</v>
      </c>
      <c r="J36" s="676">
        <v>188449.03399999999</v>
      </c>
      <c r="K36" s="676">
        <v>63936</v>
      </c>
      <c r="L36" s="676">
        <v>84600</v>
      </c>
      <c r="M36" s="676">
        <v>0</v>
      </c>
      <c r="N36" s="676">
        <v>0</v>
      </c>
      <c r="O36" s="676">
        <v>-22657.365000000002</v>
      </c>
      <c r="P36" s="676">
        <v>0</v>
      </c>
      <c r="Q36" s="676">
        <v>-9471</v>
      </c>
      <c r="R36" s="676">
        <v>-8234.7599999999984</v>
      </c>
      <c r="S36" s="676">
        <v>8725</v>
      </c>
      <c r="T36" s="676">
        <v>1994428.9393249999</v>
      </c>
    </row>
    <row r="37" spans="1:20" customFormat="1" ht="14.5">
      <c r="A37" s="235">
        <v>7051</v>
      </c>
      <c r="B37" s="235">
        <v>103626</v>
      </c>
      <c r="C37" s="235" t="s">
        <v>552</v>
      </c>
      <c r="D37" s="168" t="s">
        <v>343</v>
      </c>
      <c r="E37" s="236" t="s">
        <v>541</v>
      </c>
      <c r="F37" s="236" t="s">
        <v>537</v>
      </c>
      <c r="G37" s="283"/>
      <c r="H37" s="676">
        <v>915673.22760869563</v>
      </c>
      <c r="I37" s="676">
        <v>0</v>
      </c>
      <c r="J37" s="676">
        <v>1498974.7523044301</v>
      </c>
      <c r="K37" s="676">
        <v>55296</v>
      </c>
      <c r="L37" s="676">
        <v>21724.86</v>
      </c>
      <c r="M37" s="676">
        <v>0</v>
      </c>
      <c r="N37" s="676">
        <v>0</v>
      </c>
      <c r="O37" s="676">
        <v>0</v>
      </c>
      <c r="P37" s="676">
        <v>0</v>
      </c>
      <c r="Q37" s="676">
        <v>-2997</v>
      </c>
      <c r="R37" s="676">
        <v>0</v>
      </c>
      <c r="S37" s="676">
        <v>9771.25</v>
      </c>
      <c r="T37" s="676">
        <v>2498443.0899131256</v>
      </c>
    </row>
    <row r="38" spans="1:20" customFormat="1" ht="14.5">
      <c r="A38" s="235">
        <v>2040</v>
      </c>
      <c r="B38" s="235">
        <v>103178</v>
      </c>
      <c r="C38" s="235" t="s">
        <v>696</v>
      </c>
      <c r="D38" s="168" t="s">
        <v>486</v>
      </c>
      <c r="E38" s="236" t="s">
        <v>539</v>
      </c>
      <c r="F38" s="236" t="s">
        <v>537</v>
      </c>
      <c r="G38" s="283"/>
      <c r="H38" s="676">
        <v>1958598.6896659781</v>
      </c>
      <c r="I38" s="676">
        <v>0</v>
      </c>
      <c r="J38" s="676">
        <v>226668.91249999998</v>
      </c>
      <c r="K38" s="676">
        <v>91214</v>
      </c>
      <c r="L38" s="676">
        <v>79253.289999999994</v>
      </c>
      <c r="M38" s="676">
        <v>0</v>
      </c>
      <c r="N38" s="676">
        <v>4767.74</v>
      </c>
      <c r="O38" s="676">
        <v>-22856.114999999998</v>
      </c>
      <c r="P38" s="676">
        <v>-2.7800000000000011</v>
      </c>
      <c r="Q38" s="676">
        <v>-9471</v>
      </c>
      <c r="R38" s="676">
        <v>-8313</v>
      </c>
      <c r="S38" s="676">
        <v>9024.25</v>
      </c>
      <c r="T38" s="676">
        <v>2328883.9871659782</v>
      </c>
    </row>
    <row r="39" spans="1:20" customFormat="1" ht="14.5">
      <c r="A39" s="235">
        <v>2251</v>
      </c>
      <c r="B39" s="235">
        <v>103298</v>
      </c>
      <c r="C39" s="235" t="s">
        <v>553</v>
      </c>
      <c r="D39" s="168" t="s">
        <v>344</v>
      </c>
      <c r="E39" s="236" t="s">
        <v>539</v>
      </c>
      <c r="F39" s="236" t="s">
        <v>537</v>
      </c>
      <c r="G39" s="283"/>
      <c r="H39" s="676">
        <v>1722089.486710526</v>
      </c>
      <c r="I39" s="676">
        <v>0</v>
      </c>
      <c r="J39" s="676">
        <v>83182.66</v>
      </c>
      <c r="K39" s="676">
        <v>63230</v>
      </c>
      <c r="L39" s="676">
        <v>97449</v>
      </c>
      <c r="M39" s="676">
        <v>0</v>
      </c>
      <c r="N39" s="676">
        <v>0</v>
      </c>
      <c r="O39" s="676">
        <v>-13365.4725</v>
      </c>
      <c r="P39" s="676">
        <v>0</v>
      </c>
      <c r="Q39" s="676">
        <v>-9471</v>
      </c>
      <c r="R39" s="676">
        <v>-8195.6400000000012</v>
      </c>
      <c r="S39" s="676">
        <v>0</v>
      </c>
      <c r="T39" s="676">
        <v>1934919.0342105262</v>
      </c>
    </row>
    <row r="40" spans="1:20" customFormat="1" ht="14.5">
      <c r="A40" s="235">
        <v>3002</v>
      </c>
      <c r="B40" s="235">
        <v>103397</v>
      </c>
      <c r="C40" s="235" t="s">
        <v>554</v>
      </c>
      <c r="D40" s="168" t="s">
        <v>345</v>
      </c>
      <c r="E40" s="236" t="s">
        <v>539</v>
      </c>
      <c r="F40" s="236" t="s">
        <v>537</v>
      </c>
      <c r="G40" s="283"/>
      <c r="H40" s="676">
        <v>1070405.4063725627</v>
      </c>
      <c r="I40" s="676">
        <v>0</v>
      </c>
      <c r="J40" s="676">
        <v>46248.67</v>
      </c>
      <c r="K40" s="676">
        <v>81052</v>
      </c>
      <c r="L40" s="676">
        <v>34312.639999999999</v>
      </c>
      <c r="M40" s="676">
        <v>0</v>
      </c>
      <c r="N40" s="676">
        <v>0</v>
      </c>
      <c r="O40" s="676">
        <v>-15011.94</v>
      </c>
      <c r="P40" s="676">
        <v>0</v>
      </c>
      <c r="Q40" s="676">
        <v>-5139.75</v>
      </c>
      <c r="R40" s="676">
        <v>-3892.44</v>
      </c>
      <c r="S40" s="676">
        <v>6440.8</v>
      </c>
      <c r="T40" s="676">
        <v>1214415.3863725627</v>
      </c>
    </row>
    <row r="41" spans="1:20" customFormat="1" ht="14.5">
      <c r="A41" s="235">
        <v>3319</v>
      </c>
      <c r="B41" s="235">
        <v>103423</v>
      </c>
      <c r="C41" s="235" t="s">
        <v>555</v>
      </c>
      <c r="D41" s="168" t="s">
        <v>346</v>
      </c>
      <c r="E41" s="236" t="s">
        <v>539</v>
      </c>
      <c r="F41" s="236" t="s">
        <v>537</v>
      </c>
      <c r="G41" s="283"/>
      <c r="H41" s="676">
        <v>1743270.6329540221</v>
      </c>
      <c r="I41" s="676">
        <v>0</v>
      </c>
      <c r="J41" s="676">
        <v>58335.22</v>
      </c>
      <c r="K41" s="676">
        <v>124230</v>
      </c>
      <c r="L41" s="676">
        <v>57258</v>
      </c>
      <c r="M41" s="676">
        <v>0</v>
      </c>
      <c r="N41" s="676">
        <v>0</v>
      </c>
      <c r="O41" s="676">
        <v>-3955.1025000000004</v>
      </c>
      <c r="P41" s="676">
        <v>0</v>
      </c>
      <c r="Q41" s="676">
        <v>-9471</v>
      </c>
      <c r="R41" s="676">
        <v>-7080.72</v>
      </c>
      <c r="S41" s="676">
        <v>0</v>
      </c>
      <c r="T41" s="676">
        <v>1962587.0304540221</v>
      </c>
    </row>
    <row r="42" spans="1:20" customFormat="1" ht="14.5">
      <c r="A42" s="235">
        <v>1100</v>
      </c>
      <c r="B42" s="235">
        <v>103146</v>
      </c>
      <c r="C42" s="235" t="s">
        <v>697</v>
      </c>
      <c r="D42" s="168" t="s">
        <v>487</v>
      </c>
      <c r="E42" s="236" t="s">
        <v>698</v>
      </c>
      <c r="F42" s="236" t="s">
        <v>537</v>
      </c>
      <c r="G42" s="283"/>
      <c r="H42" s="676">
        <v>4968287.37</v>
      </c>
      <c r="I42" s="676">
        <v>0</v>
      </c>
      <c r="J42" s="676">
        <v>6189123.0624222364</v>
      </c>
      <c r="K42" s="676">
        <v>231052</v>
      </c>
      <c r="L42" s="676">
        <v>19946.580000000002</v>
      </c>
      <c r="M42" s="676">
        <v>0</v>
      </c>
      <c r="N42" s="676">
        <v>11431.990000000002</v>
      </c>
      <c r="O42" s="676">
        <v>0</v>
      </c>
      <c r="P42" s="676">
        <v>-12.11</v>
      </c>
      <c r="Q42" s="676">
        <v>-18745.650000000001</v>
      </c>
      <c r="R42" s="676">
        <v>0</v>
      </c>
      <c r="S42" s="676">
        <v>22832.5</v>
      </c>
      <c r="T42" s="676">
        <v>11423915.742422236</v>
      </c>
    </row>
    <row r="43" spans="1:20" customFormat="1" ht="14.5">
      <c r="A43" s="235">
        <v>3432</v>
      </c>
      <c r="B43" s="235">
        <v>134840</v>
      </c>
      <c r="C43" s="235" t="s">
        <v>699</v>
      </c>
      <c r="D43" s="168" t="s">
        <v>488</v>
      </c>
      <c r="E43" s="236" t="s">
        <v>539</v>
      </c>
      <c r="F43" s="236" t="s">
        <v>537</v>
      </c>
      <c r="G43" s="283"/>
      <c r="H43" s="676">
        <v>4510043.9116190299</v>
      </c>
      <c r="I43" s="676">
        <v>0</v>
      </c>
      <c r="J43" s="676">
        <v>221796.04333333331</v>
      </c>
      <c r="K43" s="676">
        <v>337444</v>
      </c>
      <c r="L43" s="676">
        <v>91236.29</v>
      </c>
      <c r="M43" s="676">
        <v>0</v>
      </c>
      <c r="N43" s="676">
        <v>7923.170000000001</v>
      </c>
      <c r="O43" s="676">
        <v>-24247.350000000002</v>
      </c>
      <c r="P43" s="676">
        <v>-15.350000000000023</v>
      </c>
      <c r="Q43" s="676">
        <v>-22801.5</v>
      </c>
      <c r="R43" s="676">
        <v>-15863.16</v>
      </c>
      <c r="S43" s="676">
        <v>0</v>
      </c>
      <c r="T43" s="676">
        <v>5105516.0549523635</v>
      </c>
    </row>
    <row r="44" spans="1:20" customFormat="1" ht="14.5">
      <c r="A44" s="235">
        <v>2289</v>
      </c>
      <c r="B44" s="235">
        <v>103315</v>
      </c>
      <c r="C44" s="235" t="s">
        <v>618</v>
      </c>
      <c r="D44" s="168" t="s">
        <v>408</v>
      </c>
      <c r="E44" s="236" t="s">
        <v>539</v>
      </c>
      <c r="F44" s="236" t="s">
        <v>537</v>
      </c>
      <c r="G44" s="283"/>
      <c r="H44" s="676">
        <v>1755831.347144708</v>
      </c>
      <c r="I44" s="676">
        <v>0</v>
      </c>
      <c r="J44" s="676">
        <v>91452.666666666657</v>
      </c>
      <c r="K44" s="676">
        <v>100346</v>
      </c>
      <c r="L44" s="676">
        <v>78717</v>
      </c>
      <c r="M44" s="676">
        <v>0</v>
      </c>
      <c r="N44" s="676">
        <v>2248</v>
      </c>
      <c r="O44" s="676">
        <v>-14237.130000000001</v>
      </c>
      <c r="P44" s="676">
        <v>-10.73</v>
      </c>
      <c r="Q44" s="676">
        <v>-9471</v>
      </c>
      <c r="R44" s="676">
        <v>-8078.279999999997</v>
      </c>
      <c r="S44" s="676">
        <v>8623.75</v>
      </c>
      <c r="T44" s="676">
        <v>2005421.6238113749</v>
      </c>
    </row>
    <row r="45" spans="1:20" customFormat="1" ht="14.5">
      <c r="A45" s="235">
        <v>2185</v>
      </c>
      <c r="B45" s="235">
        <v>103263</v>
      </c>
      <c r="C45" s="235" t="s">
        <v>700</v>
      </c>
      <c r="D45" s="168" t="s">
        <v>489</v>
      </c>
      <c r="E45" s="236" t="s">
        <v>539</v>
      </c>
      <c r="F45" s="236" t="s">
        <v>537</v>
      </c>
      <c r="G45" s="283"/>
      <c r="H45" s="676">
        <v>1916151.0596398683</v>
      </c>
      <c r="I45" s="676">
        <v>0</v>
      </c>
      <c r="J45" s="676">
        <v>88696.756666666653</v>
      </c>
      <c r="K45" s="676">
        <v>113782</v>
      </c>
      <c r="L45" s="676">
        <v>80597</v>
      </c>
      <c r="M45" s="676">
        <v>0</v>
      </c>
      <c r="N45" s="676">
        <v>4710.17</v>
      </c>
      <c r="O45" s="676">
        <v>-17820.622500000001</v>
      </c>
      <c r="P45" s="676">
        <v>-14.689999999999998</v>
      </c>
      <c r="Q45" s="676">
        <v>-9471</v>
      </c>
      <c r="R45" s="676">
        <v>-8254.32</v>
      </c>
      <c r="S45" s="676">
        <v>9051.25</v>
      </c>
      <c r="T45" s="676">
        <v>2177427.6038065352</v>
      </c>
    </row>
    <row r="46" spans="1:20" customFormat="1" ht="14.5">
      <c r="A46" s="235">
        <v>5416</v>
      </c>
      <c r="B46" s="235">
        <v>103563</v>
      </c>
      <c r="C46" s="235" t="s">
        <v>556</v>
      </c>
      <c r="D46" s="168" t="s">
        <v>347</v>
      </c>
      <c r="E46" s="236" t="s">
        <v>543</v>
      </c>
      <c r="F46" s="236" t="s">
        <v>537</v>
      </c>
      <c r="G46" s="283"/>
      <c r="H46" s="676">
        <v>7135726.6787335137</v>
      </c>
      <c r="I46" s="676">
        <v>270933.17333333328</v>
      </c>
      <c r="J46" s="676">
        <v>64601.990000000005</v>
      </c>
      <c r="K46" s="676">
        <v>336224</v>
      </c>
      <c r="L46" s="676">
        <v>5947.16</v>
      </c>
      <c r="M46" s="676">
        <v>0</v>
      </c>
      <c r="N46" s="676">
        <v>0</v>
      </c>
      <c r="O46" s="676">
        <v>-6518.9549999999999</v>
      </c>
      <c r="P46" s="676">
        <v>0</v>
      </c>
      <c r="Q46" s="676">
        <v>-32697</v>
      </c>
      <c r="R46" s="676">
        <v>-17407.4175</v>
      </c>
      <c r="S46" s="676">
        <v>25150</v>
      </c>
      <c r="T46" s="676">
        <v>7781959.6295668464</v>
      </c>
    </row>
    <row r="47" spans="1:20" customFormat="1" ht="14.5">
      <c r="A47" s="235">
        <v>2054</v>
      </c>
      <c r="B47" s="235">
        <v>103189</v>
      </c>
      <c r="C47" s="235" t="s">
        <v>557</v>
      </c>
      <c r="D47" s="168" t="s">
        <v>348</v>
      </c>
      <c r="E47" s="236" t="s">
        <v>539</v>
      </c>
      <c r="F47" s="236" t="s">
        <v>537</v>
      </c>
      <c r="G47" s="283"/>
      <c r="H47" s="676">
        <v>1575622.845851708</v>
      </c>
      <c r="I47" s="676">
        <v>0</v>
      </c>
      <c r="J47" s="676">
        <v>162285.91</v>
      </c>
      <c r="K47" s="676">
        <v>59200</v>
      </c>
      <c r="L47" s="676">
        <v>141610</v>
      </c>
      <c r="M47" s="676">
        <v>0</v>
      </c>
      <c r="N47" s="676">
        <v>0</v>
      </c>
      <c r="O47" s="676">
        <v>-10674.8025</v>
      </c>
      <c r="P47" s="676">
        <v>0</v>
      </c>
      <c r="Q47" s="676">
        <v>-9471</v>
      </c>
      <c r="R47" s="676">
        <v>-7041.5999999999985</v>
      </c>
      <c r="S47" s="676">
        <v>8369.5</v>
      </c>
      <c r="T47" s="676">
        <v>1919900.8533517078</v>
      </c>
    </row>
    <row r="48" spans="1:20" customFormat="1" ht="14.5">
      <c r="A48" s="235">
        <v>2053</v>
      </c>
      <c r="B48" s="235">
        <v>103188</v>
      </c>
      <c r="C48" s="235" t="s">
        <v>558</v>
      </c>
      <c r="D48" s="168" t="s">
        <v>349</v>
      </c>
      <c r="E48" s="236" t="s">
        <v>539</v>
      </c>
      <c r="F48" s="236" t="s">
        <v>537</v>
      </c>
      <c r="G48" s="283"/>
      <c r="H48" s="676">
        <v>1918479.3808099716</v>
      </c>
      <c r="I48" s="676">
        <v>0</v>
      </c>
      <c r="J48" s="676">
        <v>104451.33666666667</v>
      </c>
      <c r="K48" s="676">
        <v>111400</v>
      </c>
      <c r="L48" s="676">
        <v>19049</v>
      </c>
      <c r="M48" s="676">
        <v>0</v>
      </c>
      <c r="N48" s="676">
        <v>0</v>
      </c>
      <c r="O48" s="676">
        <v>-15361.297499999999</v>
      </c>
      <c r="P48" s="676">
        <v>0</v>
      </c>
      <c r="Q48" s="676">
        <v>-12566.4</v>
      </c>
      <c r="R48" s="676">
        <v>-9388.8000000000011</v>
      </c>
      <c r="S48" s="676">
        <v>9366.25</v>
      </c>
      <c r="T48" s="676">
        <v>2125429.4699766384</v>
      </c>
    </row>
    <row r="49" spans="1:20" customFormat="1" ht="14.5">
      <c r="A49" s="235">
        <v>3320</v>
      </c>
      <c r="B49" s="235">
        <v>103424</v>
      </c>
      <c r="C49" s="235" t="s">
        <v>619</v>
      </c>
      <c r="D49" s="168" t="s">
        <v>409</v>
      </c>
      <c r="E49" s="236" t="s">
        <v>539</v>
      </c>
      <c r="F49" s="236" t="s">
        <v>537</v>
      </c>
      <c r="G49" s="283"/>
      <c r="H49" s="676">
        <v>1890728.4508056229</v>
      </c>
      <c r="I49" s="676">
        <v>0</v>
      </c>
      <c r="J49" s="676">
        <v>83940.581000000006</v>
      </c>
      <c r="K49" s="676">
        <v>170036</v>
      </c>
      <c r="L49" s="676">
        <v>57239</v>
      </c>
      <c r="M49" s="676">
        <v>0</v>
      </c>
      <c r="N49" s="676">
        <v>8073.7999999999993</v>
      </c>
      <c r="O49" s="676">
        <v>-2901.7350000000001</v>
      </c>
      <c r="P49" s="676">
        <v>-2.3899999999999864</v>
      </c>
      <c r="Q49" s="676">
        <v>0</v>
      </c>
      <c r="R49" s="676">
        <v>-7863.1200000000008</v>
      </c>
      <c r="S49" s="676">
        <v>0</v>
      </c>
      <c r="T49" s="676">
        <v>2199250.5868056226</v>
      </c>
    </row>
    <row r="50" spans="1:20" customFormat="1" ht="14.5">
      <c r="A50" s="235">
        <v>2055</v>
      </c>
      <c r="B50" s="235">
        <v>103190</v>
      </c>
      <c r="C50" s="235" t="s">
        <v>559</v>
      </c>
      <c r="D50" s="168" t="s">
        <v>350</v>
      </c>
      <c r="E50" s="236" t="s">
        <v>539</v>
      </c>
      <c r="F50" s="236" t="s">
        <v>537</v>
      </c>
      <c r="G50" s="283"/>
      <c r="H50" s="676">
        <v>1822230.0501189735</v>
      </c>
      <c r="I50" s="676">
        <v>0</v>
      </c>
      <c r="J50" s="676">
        <v>72755.156666666662</v>
      </c>
      <c r="K50" s="676">
        <v>82542</v>
      </c>
      <c r="L50" s="676">
        <v>86592</v>
      </c>
      <c r="M50" s="676">
        <v>0</v>
      </c>
      <c r="N50" s="676">
        <v>0</v>
      </c>
      <c r="O50" s="676">
        <v>-20868.622500000001</v>
      </c>
      <c r="P50" s="676">
        <v>0</v>
      </c>
      <c r="Q50" s="676">
        <v>-11880</v>
      </c>
      <c r="R50" s="676">
        <v>-8097.84</v>
      </c>
      <c r="S50" s="676">
        <v>8977.9</v>
      </c>
      <c r="T50" s="676">
        <v>2032250.64428564</v>
      </c>
    </row>
    <row r="51" spans="1:20" customFormat="1" ht="14.5">
      <c r="A51" s="235">
        <v>2454</v>
      </c>
      <c r="B51" s="235">
        <v>103381</v>
      </c>
      <c r="C51" s="235" t="s">
        <v>702</v>
      </c>
      <c r="D51" s="168" t="s">
        <v>491</v>
      </c>
      <c r="E51" s="236" t="s">
        <v>539</v>
      </c>
      <c r="F51" s="236" t="s">
        <v>537</v>
      </c>
      <c r="G51" s="283"/>
      <c r="H51" s="676">
        <v>1977972.725746894</v>
      </c>
      <c r="I51" s="676">
        <v>0</v>
      </c>
      <c r="J51" s="676">
        <v>72127.33666666667</v>
      </c>
      <c r="K51" s="676">
        <v>178326</v>
      </c>
      <c r="L51" s="676">
        <v>53698.93</v>
      </c>
      <c r="M51" s="676">
        <v>0</v>
      </c>
      <c r="N51" s="676">
        <v>4436.34</v>
      </c>
      <c r="O51" s="676">
        <v>-22856.895</v>
      </c>
      <c r="P51" s="676">
        <v>-26.509999999999991</v>
      </c>
      <c r="Q51" s="676">
        <v>-9471</v>
      </c>
      <c r="R51" s="676">
        <v>-7276.32</v>
      </c>
      <c r="S51" s="676">
        <v>8524.75</v>
      </c>
      <c r="T51" s="676">
        <v>2255455.3574135611</v>
      </c>
    </row>
    <row r="52" spans="1:20" customFormat="1" ht="14.5">
      <c r="A52" s="235">
        <v>3321</v>
      </c>
      <c r="B52" s="235">
        <v>103425</v>
      </c>
      <c r="C52" s="235" t="s">
        <v>703</v>
      </c>
      <c r="D52" s="168" t="s">
        <v>492</v>
      </c>
      <c r="E52" s="236" t="s">
        <v>539</v>
      </c>
      <c r="F52" s="236" t="s">
        <v>537</v>
      </c>
      <c r="G52" s="283"/>
      <c r="H52" s="676">
        <v>1594677.4468659949</v>
      </c>
      <c r="I52" s="676">
        <v>0</v>
      </c>
      <c r="J52" s="676">
        <v>103930.99666666666</v>
      </c>
      <c r="K52" s="676">
        <v>119484</v>
      </c>
      <c r="L52" s="676">
        <v>52267.93</v>
      </c>
      <c r="M52" s="676">
        <v>0</v>
      </c>
      <c r="N52" s="676">
        <v>3741.13</v>
      </c>
      <c r="O52" s="676">
        <v>-2861.9775</v>
      </c>
      <c r="P52" s="676">
        <v>-3.5900000000000034</v>
      </c>
      <c r="Q52" s="676">
        <v>-9471</v>
      </c>
      <c r="R52" s="676">
        <v>-6806.8799999999992</v>
      </c>
      <c r="S52" s="676">
        <v>0</v>
      </c>
      <c r="T52" s="676">
        <v>1854958.0560326613</v>
      </c>
    </row>
    <row r="53" spans="1:20" customFormat="1" ht="14.5">
      <c r="A53" s="235">
        <v>1026</v>
      </c>
      <c r="B53" s="235">
        <v>103139</v>
      </c>
      <c r="C53" s="235" t="s">
        <v>620</v>
      </c>
      <c r="D53" s="168" t="s">
        <v>410</v>
      </c>
      <c r="E53" s="236" t="s">
        <v>536</v>
      </c>
      <c r="F53" s="236" t="s">
        <v>537</v>
      </c>
      <c r="G53" s="283"/>
      <c r="H53" s="676">
        <v>607915.60129623115</v>
      </c>
      <c r="I53" s="676">
        <v>0</v>
      </c>
      <c r="J53" s="676">
        <v>37401.204168421056</v>
      </c>
      <c r="K53" s="676">
        <v>0</v>
      </c>
      <c r="L53" s="676">
        <v>0</v>
      </c>
      <c r="M53" s="676">
        <v>0</v>
      </c>
      <c r="N53" s="676">
        <v>0</v>
      </c>
      <c r="O53" s="676">
        <v>0</v>
      </c>
      <c r="P53" s="676">
        <v>0</v>
      </c>
      <c r="Q53" s="676">
        <v>-3291.75</v>
      </c>
      <c r="R53" s="676">
        <v>0</v>
      </c>
      <c r="S53" s="676">
        <v>4891</v>
      </c>
      <c r="T53" s="676">
        <v>646916.05546465225</v>
      </c>
    </row>
    <row r="54" spans="1:20" customFormat="1" ht="14.5">
      <c r="A54" s="235">
        <v>2294</v>
      </c>
      <c r="B54" s="235">
        <v>103318</v>
      </c>
      <c r="C54" s="235" t="s">
        <v>621</v>
      </c>
      <c r="D54" s="168" t="s">
        <v>411</v>
      </c>
      <c r="E54" s="236" t="s">
        <v>539</v>
      </c>
      <c r="F54" s="236" t="s">
        <v>537</v>
      </c>
      <c r="G54" s="283"/>
      <c r="H54" s="676">
        <v>1932330.8205500001</v>
      </c>
      <c r="I54" s="676">
        <v>0</v>
      </c>
      <c r="J54" s="676">
        <v>152940.91000000003</v>
      </c>
      <c r="K54" s="676">
        <v>149984</v>
      </c>
      <c r="L54" s="676">
        <v>64945</v>
      </c>
      <c r="M54" s="676">
        <v>0</v>
      </c>
      <c r="N54" s="676">
        <v>0</v>
      </c>
      <c r="O54" s="676">
        <v>-21067.372500000001</v>
      </c>
      <c r="P54" s="676">
        <v>0</v>
      </c>
      <c r="Q54" s="676">
        <v>-9471</v>
      </c>
      <c r="R54" s="676">
        <v>-8215.1999999999989</v>
      </c>
      <c r="S54" s="676">
        <v>8680</v>
      </c>
      <c r="T54" s="676">
        <v>2270127.1580499997</v>
      </c>
    </row>
    <row r="55" spans="1:20" customFormat="1" ht="14.5">
      <c r="A55" s="235">
        <v>2486</v>
      </c>
      <c r="B55" s="235">
        <v>133759</v>
      </c>
      <c r="C55" s="235" t="s">
        <v>560</v>
      </c>
      <c r="D55" s="168" t="s">
        <v>351</v>
      </c>
      <c r="E55" s="236" t="s">
        <v>539</v>
      </c>
      <c r="F55" s="236" t="s">
        <v>537</v>
      </c>
      <c r="G55" s="283"/>
      <c r="H55" s="676">
        <v>1076588.570332387</v>
      </c>
      <c r="I55" s="676">
        <v>0</v>
      </c>
      <c r="J55" s="676">
        <v>98470.926666666666</v>
      </c>
      <c r="K55" s="676">
        <v>95536</v>
      </c>
      <c r="L55" s="676">
        <v>36116</v>
      </c>
      <c r="M55" s="676">
        <v>0</v>
      </c>
      <c r="N55" s="676">
        <v>0</v>
      </c>
      <c r="O55" s="676">
        <v>-11234.745000000001</v>
      </c>
      <c r="P55" s="676">
        <v>0</v>
      </c>
      <c r="Q55" s="676">
        <v>-5049</v>
      </c>
      <c r="R55" s="676">
        <v>-3657.7200000000003</v>
      </c>
      <c r="S55" s="676">
        <v>6337.75</v>
      </c>
      <c r="T55" s="676">
        <v>1293107.7819990537</v>
      </c>
    </row>
    <row r="56" spans="1:20" customFormat="1" ht="14.5">
      <c r="A56" s="235">
        <v>3435</v>
      </c>
      <c r="B56" s="235">
        <v>131920</v>
      </c>
      <c r="C56" s="235" t="s">
        <v>704</v>
      </c>
      <c r="D56" s="168" t="s">
        <v>493</v>
      </c>
      <c r="E56" s="236" t="s">
        <v>539</v>
      </c>
      <c r="F56" s="236" t="s">
        <v>537</v>
      </c>
      <c r="G56" s="283"/>
      <c r="H56" s="676">
        <v>1619872.4775</v>
      </c>
      <c r="I56" s="676">
        <v>0</v>
      </c>
      <c r="J56" s="676">
        <v>162094.51333333334</v>
      </c>
      <c r="K56" s="676">
        <v>24954</v>
      </c>
      <c r="L56" s="676">
        <v>103313.93</v>
      </c>
      <c r="M56" s="676">
        <v>0</v>
      </c>
      <c r="N56" s="676">
        <v>2818.89</v>
      </c>
      <c r="O56" s="676">
        <v>-3895.4775000000004</v>
      </c>
      <c r="P56" s="676">
        <v>-4.04</v>
      </c>
      <c r="Q56" s="676">
        <v>-11340</v>
      </c>
      <c r="R56" s="676">
        <v>-8215.1999999999989</v>
      </c>
      <c r="S56" s="676">
        <v>8758.75</v>
      </c>
      <c r="T56" s="676">
        <v>1898357.8433333333</v>
      </c>
    </row>
    <row r="57" spans="1:20" customFormat="1" ht="14.5">
      <c r="A57" s="235">
        <v>7050</v>
      </c>
      <c r="B57" s="235">
        <v>103625</v>
      </c>
      <c r="C57" s="235" t="s">
        <v>705</v>
      </c>
      <c r="D57" s="168" t="s">
        <v>494</v>
      </c>
      <c r="E57" s="236" t="s">
        <v>541</v>
      </c>
      <c r="F57" s="236" t="s">
        <v>537</v>
      </c>
      <c r="G57" s="283"/>
      <c r="H57" s="676">
        <v>915715.1682608698</v>
      </c>
      <c r="I57" s="676">
        <v>0</v>
      </c>
      <c r="J57" s="676">
        <v>1798138.1774095893</v>
      </c>
      <c r="K57" s="676">
        <v>27412</v>
      </c>
      <c r="L57" s="676">
        <v>0</v>
      </c>
      <c r="M57" s="676">
        <v>0</v>
      </c>
      <c r="N57" s="676">
        <v>0</v>
      </c>
      <c r="O57" s="676">
        <v>0</v>
      </c>
      <c r="P57" s="676">
        <v>0</v>
      </c>
      <c r="Q57" s="676">
        <v>-3291.75</v>
      </c>
      <c r="R57" s="676">
        <v>0</v>
      </c>
      <c r="S57" s="676">
        <v>9568.75</v>
      </c>
      <c r="T57" s="676">
        <v>2747542.3456704589</v>
      </c>
    </row>
    <row r="58" spans="1:20" customFormat="1" ht="14.5">
      <c r="A58" s="235">
        <v>1006</v>
      </c>
      <c r="B58" s="235">
        <v>103122</v>
      </c>
      <c r="C58" s="235" t="s">
        <v>622</v>
      </c>
      <c r="D58" s="168" t="s">
        <v>412</v>
      </c>
      <c r="E58" s="236" t="s">
        <v>536</v>
      </c>
      <c r="F58" s="236" t="s">
        <v>537</v>
      </c>
      <c r="G58" s="283"/>
      <c r="H58" s="676">
        <v>452498.05576505308</v>
      </c>
      <c r="I58" s="676">
        <v>0</v>
      </c>
      <c r="J58" s="676">
        <v>86753.244736842098</v>
      </c>
      <c r="K58" s="676">
        <v>0</v>
      </c>
      <c r="L58" s="676">
        <v>0</v>
      </c>
      <c r="M58" s="676">
        <v>0</v>
      </c>
      <c r="N58" s="676">
        <v>2192.04</v>
      </c>
      <c r="O58" s="676">
        <v>0</v>
      </c>
      <c r="P58" s="676">
        <v>-21.089999999999975</v>
      </c>
      <c r="Q58" s="676">
        <v>-3291.75</v>
      </c>
      <c r="R58" s="676">
        <v>0</v>
      </c>
      <c r="S58" s="676">
        <v>4708.75</v>
      </c>
      <c r="T58" s="676">
        <v>542839.25050189521</v>
      </c>
    </row>
    <row r="59" spans="1:20" customFormat="1" ht="14.5">
      <c r="A59" s="235">
        <v>2081</v>
      </c>
      <c r="B59" s="235">
        <v>103201</v>
      </c>
      <c r="C59" s="235" t="s">
        <v>706</v>
      </c>
      <c r="D59" s="168" t="s">
        <v>495</v>
      </c>
      <c r="E59" s="236" t="s">
        <v>539</v>
      </c>
      <c r="F59" s="236" t="s">
        <v>537</v>
      </c>
      <c r="G59" s="283"/>
      <c r="H59" s="676">
        <v>1717365.9457508558</v>
      </c>
      <c r="I59" s="676">
        <v>0</v>
      </c>
      <c r="J59" s="676">
        <v>107267.01999999999</v>
      </c>
      <c r="K59" s="676">
        <v>119460</v>
      </c>
      <c r="L59" s="676">
        <v>70663</v>
      </c>
      <c r="M59" s="676">
        <v>0</v>
      </c>
      <c r="N59" s="676">
        <v>3113.45</v>
      </c>
      <c r="O59" s="676">
        <v>-31004.812500000004</v>
      </c>
      <c r="P59" s="676">
        <v>-4.3799999999999955</v>
      </c>
      <c r="Q59" s="676">
        <v>-9471</v>
      </c>
      <c r="R59" s="676">
        <v>-8156.5199999999986</v>
      </c>
      <c r="S59" s="676">
        <v>8713.75</v>
      </c>
      <c r="T59" s="676">
        <v>1977946.4532508559</v>
      </c>
    </row>
    <row r="60" spans="1:20" customFormat="1" ht="14.5">
      <c r="A60" s="235">
        <v>2296</v>
      </c>
      <c r="B60" s="235">
        <v>103320</v>
      </c>
      <c r="C60" s="235" t="s">
        <v>561</v>
      </c>
      <c r="D60" s="168" t="s">
        <v>352</v>
      </c>
      <c r="E60" s="236" t="s">
        <v>539</v>
      </c>
      <c r="F60" s="236" t="s">
        <v>798</v>
      </c>
      <c r="G60" s="283"/>
      <c r="H60" s="676">
        <v>1171802.2005590105</v>
      </c>
      <c r="I60" s="676">
        <v>0</v>
      </c>
      <c r="J60" s="676">
        <v>79333.990000000005</v>
      </c>
      <c r="K60" s="676">
        <v>76106</v>
      </c>
      <c r="L60" s="676">
        <v>55100.91</v>
      </c>
      <c r="M60" s="676">
        <v>0</v>
      </c>
      <c r="N60" s="676">
        <v>0</v>
      </c>
      <c r="O60" s="676">
        <v>-23452.357500000006</v>
      </c>
      <c r="P60" s="676">
        <v>0</v>
      </c>
      <c r="Q60" s="676">
        <v>-5139.75</v>
      </c>
      <c r="R60" s="676">
        <v>-5066.04</v>
      </c>
      <c r="S60" s="676">
        <v>7262.5</v>
      </c>
      <c r="T60" s="676">
        <v>1355947.4530590104</v>
      </c>
    </row>
    <row r="61" spans="1:20" customFormat="1" ht="14.5">
      <c r="A61" s="235">
        <v>1015</v>
      </c>
      <c r="B61" s="235">
        <v>103128</v>
      </c>
      <c r="C61" s="235" t="s">
        <v>624</v>
      </c>
      <c r="D61" s="168" t="s">
        <v>414</v>
      </c>
      <c r="E61" s="236" t="s">
        <v>536</v>
      </c>
      <c r="F61" s="236" t="s">
        <v>537</v>
      </c>
      <c r="G61" s="283"/>
      <c r="H61" s="676">
        <v>573386.95299957716</v>
      </c>
      <c r="I61" s="676">
        <v>0</v>
      </c>
      <c r="J61" s="676">
        <v>36326.249670175435</v>
      </c>
      <c r="K61" s="676">
        <v>0</v>
      </c>
      <c r="L61" s="676">
        <v>0</v>
      </c>
      <c r="M61" s="676">
        <v>0</v>
      </c>
      <c r="N61" s="676">
        <v>2947.61</v>
      </c>
      <c r="O61" s="676">
        <v>0</v>
      </c>
      <c r="P61" s="676">
        <v>-14.529999999999973</v>
      </c>
      <c r="Q61" s="676">
        <v>-3291.75</v>
      </c>
      <c r="R61" s="676">
        <v>0</v>
      </c>
      <c r="S61" s="676">
        <v>4918</v>
      </c>
      <c r="T61" s="676">
        <v>614272.5326697526</v>
      </c>
    </row>
    <row r="62" spans="1:20" customFormat="1" ht="14.5">
      <c r="A62" s="235">
        <v>1022</v>
      </c>
      <c r="B62" s="235">
        <v>103135</v>
      </c>
      <c r="C62" s="235" t="s">
        <v>625</v>
      </c>
      <c r="D62" s="168" t="s">
        <v>415</v>
      </c>
      <c r="E62" s="236" t="s">
        <v>536</v>
      </c>
      <c r="F62" s="236" t="s">
        <v>537</v>
      </c>
      <c r="G62" s="283"/>
      <c r="H62" s="676">
        <v>473164.35751904326</v>
      </c>
      <c r="I62" s="676">
        <v>0</v>
      </c>
      <c r="J62" s="676">
        <v>28794.148333333334</v>
      </c>
      <c r="K62" s="676">
        <v>0</v>
      </c>
      <c r="L62" s="676">
        <v>856.93</v>
      </c>
      <c r="M62" s="676">
        <v>0</v>
      </c>
      <c r="N62" s="676">
        <v>0</v>
      </c>
      <c r="O62" s="676">
        <v>0</v>
      </c>
      <c r="P62" s="676">
        <v>0</v>
      </c>
      <c r="Q62" s="676">
        <v>-3291.75</v>
      </c>
      <c r="R62" s="676">
        <v>0</v>
      </c>
      <c r="S62" s="676">
        <v>4708.75</v>
      </c>
      <c r="T62" s="676">
        <v>504232.43585237657</v>
      </c>
    </row>
    <row r="63" spans="1:20" customFormat="1" ht="14.5">
      <c r="A63" s="235">
        <v>2087</v>
      </c>
      <c r="B63" s="235">
        <v>103205</v>
      </c>
      <c r="C63" s="235" t="s">
        <v>626</v>
      </c>
      <c r="D63" s="168" t="s">
        <v>416</v>
      </c>
      <c r="E63" s="236" t="s">
        <v>539</v>
      </c>
      <c r="F63" s="236" t="s">
        <v>537</v>
      </c>
      <c r="G63" s="283"/>
      <c r="H63" s="676">
        <v>1654742.1863085178</v>
      </c>
      <c r="I63" s="676">
        <v>0</v>
      </c>
      <c r="J63" s="676">
        <v>97801.54</v>
      </c>
      <c r="K63" s="676">
        <v>141652</v>
      </c>
      <c r="L63" s="676">
        <v>43682</v>
      </c>
      <c r="M63" s="676">
        <v>0</v>
      </c>
      <c r="N63" s="676">
        <v>3676.3900000000003</v>
      </c>
      <c r="O63" s="676">
        <v>-19370.242500000004</v>
      </c>
      <c r="P63" s="676">
        <v>-2.36</v>
      </c>
      <c r="Q63" s="676">
        <v>-9471</v>
      </c>
      <c r="R63" s="676">
        <v>-6630.84</v>
      </c>
      <c r="S63" s="676">
        <v>8106.25</v>
      </c>
      <c r="T63" s="676">
        <v>1914185.9238085176</v>
      </c>
    </row>
    <row r="64" spans="1:20" customFormat="1" ht="14.5">
      <c r="A64" s="235">
        <v>2466</v>
      </c>
      <c r="B64" s="235">
        <v>103392</v>
      </c>
      <c r="C64" s="235" t="s">
        <v>627</v>
      </c>
      <c r="D64" s="168" t="s">
        <v>417</v>
      </c>
      <c r="E64" s="236" t="s">
        <v>539</v>
      </c>
      <c r="F64" s="236" t="s">
        <v>537</v>
      </c>
      <c r="G64" s="283"/>
      <c r="H64" s="676">
        <v>2958849.3997010007</v>
      </c>
      <c r="I64" s="676">
        <v>0</v>
      </c>
      <c r="J64" s="676">
        <v>83220.476666666655</v>
      </c>
      <c r="K64" s="676">
        <v>244672</v>
      </c>
      <c r="L64" s="676">
        <v>69444.72</v>
      </c>
      <c r="M64" s="676">
        <v>0</v>
      </c>
      <c r="N64" s="676">
        <v>9667.5800000000017</v>
      </c>
      <c r="O64" s="676">
        <v>-23054.857500000002</v>
      </c>
      <c r="P64" s="676">
        <v>-2.0099999999999909</v>
      </c>
      <c r="Q64" s="676">
        <v>-18745.650000000001</v>
      </c>
      <c r="R64" s="676">
        <v>-11814.24</v>
      </c>
      <c r="S64" s="676">
        <v>11222.5</v>
      </c>
      <c r="T64" s="676">
        <v>3323459.9188676677</v>
      </c>
    </row>
    <row r="65" spans="1:20" customFormat="1" ht="14.5">
      <c r="A65" s="235">
        <v>2093</v>
      </c>
      <c r="B65" s="235">
        <v>103210</v>
      </c>
      <c r="C65" s="235" t="s">
        <v>707</v>
      </c>
      <c r="D65" s="168" t="s">
        <v>496</v>
      </c>
      <c r="E65" s="236" t="s">
        <v>539</v>
      </c>
      <c r="F65" s="236" t="s">
        <v>537</v>
      </c>
      <c r="G65" s="283"/>
      <c r="H65" s="676">
        <v>1609896.5148212186</v>
      </c>
      <c r="I65" s="676">
        <v>0</v>
      </c>
      <c r="J65" s="676">
        <v>126695.85666666666</v>
      </c>
      <c r="K65" s="676">
        <v>56054</v>
      </c>
      <c r="L65" s="676">
        <v>164219.98000000001</v>
      </c>
      <c r="M65" s="676">
        <v>0</v>
      </c>
      <c r="N65" s="676">
        <v>4288.83</v>
      </c>
      <c r="O65" s="676">
        <v>-14915.092500000001</v>
      </c>
      <c r="P65" s="676">
        <v>-28.569999999999993</v>
      </c>
      <c r="Q65" s="676">
        <v>0</v>
      </c>
      <c r="R65" s="676">
        <v>-7041.5999999999985</v>
      </c>
      <c r="S65" s="676">
        <v>8344.75</v>
      </c>
      <c r="T65" s="676">
        <v>1947514.6689878851</v>
      </c>
    </row>
    <row r="66" spans="1:20" customFormat="1" ht="14.5">
      <c r="A66" s="235">
        <v>2092</v>
      </c>
      <c r="B66" s="235">
        <v>103209</v>
      </c>
      <c r="C66" s="235" t="s">
        <v>562</v>
      </c>
      <c r="D66" s="168" t="s">
        <v>353</v>
      </c>
      <c r="E66" s="236" t="s">
        <v>539</v>
      </c>
      <c r="F66" s="236" t="s">
        <v>537</v>
      </c>
      <c r="G66" s="283"/>
      <c r="H66" s="676">
        <v>1937355.7999506202</v>
      </c>
      <c r="I66" s="676">
        <v>0</v>
      </c>
      <c r="J66" s="676">
        <v>64148.933333333334</v>
      </c>
      <c r="K66" s="676">
        <v>130822</v>
      </c>
      <c r="L66" s="676">
        <v>19070</v>
      </c>
      <c r="M66" s="676">
        <v>0</v>
      </c>
      <c r="N66" s="676">
        <v>0</v>
      </c>
      <c r="O66" s="676">
        <v>-20815.9725</v>
      </c>
      <c r="P66" s="676">
        <v>0</v>
      </c>
      <c r="Q66" s="676">
        <v>-13068</v>
      </c>
      <c r="R66" s="676">
        <v>-9467.0399999999991</v>
      </c>
      <c r="S66" s="676">
        <v>9422.5</v>
      </c>
      <c r="T66" s="676">
        <v>2117468.2207839536</v>
      </c>
    </row>
    <row r="67" spans="1:20" customFormat="1" ht="14.5">
      <c r="A67" s="235">
        <v>7006</v>
      </c>
      <c r="B67" s="235">
        <v>103600</v>
      </c>
      <c r="C67" s="235" t="s">
        <v>629</v>
      </c>
      <c r="D67" s="168" t="s">
        <v>419</v>
      </c>
      <c r="E67" s="236" t="s">
        <v>541</v>
      </c>
      <c r="F67" s="236" t="s">
        <v>537</v>
      </c>
      <c r="G67" s="283"/>
      <c r="H67" s="676">
        <v>1642618.9458695652</v>
      </c>
      <c r="I67" s="676">
        <v>0</v>
      </c>
      <c r="J67" s="676">
        <v>2556265.3336525136</v>
      </c>
      <c r="K67" s="676">
        <v>73616</v>
      </c>
      <c r="L67" s="676">
        <v>25078.22</v>
      </c>
      <c r="M67" s="676">
        <v>0</v>
      </c>
      <c r="N67" s="676">
        <v>0</v>
      </c>
      <c r="O67" s="676">
        <v>0</v>
      </c>
      <c r="P67" s="676">
        <v>0</v>
      </c>
      <c r="Q67" s="676">
        <v>-5139.75</v>
      </c>
      <c r="R67" s="676">
        <v>0</v>
      </c>
      <c r="S67" s="676">
        <v>11796.25</v>
      </c>
      <c r="T67" s="676">
        <v>4304234.9995220788</v>
      </c>
    </row>
    <row r="68" spans="1:20" customFormat="1" ht="14.5">
      <c r="A68" s="235">
        <v>2099</v>
      </c>
      <c r="B68" s="235">
        <v>103214</v>
      </c>
      <c r="C68" s="235" t="s">
        <v>708</v>
      </c>
      <c r="D68" s="168" t="s">
        <v>497</v>
      </c>
      <c r="E68" s="236" t="s">
        <v>539</v>
      </c>
      <c r="F68" s="236" t="s">
        <v>537</v>
      </c>
      <c r="G68" s="283"/>
      <c r="H68" s="676">
        <v>1213946.471004586</v>
      </c>
      <c r="I68" s="676">
        <v>0</v>
      </c>
      <c r="J68" s="676">
        <v>128299.3333333333</v>
      </c>
      <c r="K68" s="676">
        <v>96202</v>
      </c>
      <c r="L68" s="676">
        <v>38367.550000000003</v>
      </c>
      <c r="M68" s="676">
        <v>0</v>
      </c>
      <c r="N68" s="676">
        <v>1879.83</v>
      </c>
      <c r="O68" s="676">
        <v>-11912.7</v>
      </c>
      <c r="P68" s="676">
        <v>-24.61</v>
      </c>
      <c r="Q68" s="676">
        <v>-5139.75</v>
      </c>
      <c r="R68" s="676">
        <v>-4088.0399999999991</v>
      </c>
      <c r="S68" s="676">
        <v>6486.25</v>
      </c>
      <c r="T68" s="676">
        <v>1464016.3343379193</v>
      </c>
    </row>
    <row r="69" spans="1:20" customFormat="1" ht="14.5">
      <c r="A69" s="235">
        <v>1010</v>
      </c>
      <c r="B69" s="235">
        <v>103125</v>
      </c>
      <c r="C69" s="235" t="s">
        <v>632</v>
      </c>
      <c r="D69" s="168" t="s">
        <v>422</v>
      </c>
      <c r="E69" s="236" t="s">
        <v>536</v>
      </c>
      <c r="F69" s="236" t="s">
        <v>537</v>
      </c>
      <c r="G69" s="283"/>
      <c r="H69" s="676">
        <v>762884.22772542946</v>
      </c>
      <c r="I69" s="676">
        <v>0</v>
      </c>
      <c r="J69" s="676">
        <v>40645.535392982456</v>
      </c>
      <c r="K69" s="676">
        <v>0</v>
      </c>
      <c r="L69" s="676">
        <v>0</v>
      </c>
      <c r="M69" s="676">
        <v>0</v>
      </c>
      <c r="N69" s="676">
        <v>0</v>
      </c>
      <c r="O69" s="676">
        <v>0</v>
      </c>
      <c r="P69" s="676">
        <v>0</v>
      </c>
      <c r="Q69" s="676">
        <v>-3291.75</v>
      </c>
      <c r="R69" s="676">
        <v>0</v>
      </c>
      <c r="S69" s="676">
        <v>5120.5</v>
      </c>
      <c r="T69" s="676">
        <v>805358.51311841188</v>
      </c>
    </row>
    <row r="70" spans="1:20" customFormat="1" ht="14.5">
      <c r="A70" s="235">
        <v>1021</v>
      </c>
      <c r="B70" s="235">
        <v>103134</v>
      </c>
      <c r="C70" s="235" t="s">
        <v>602</v>
      </c>
      <c r="D70" s="168" t="s">
        <v>392</v>
      </c>
      <c r="E70" s="236" t="s">
        <v>536</v>
      </c>
      <c r="F70" s="236" t="s">
        <v>537</v>
      </c>
      <c r="G70" s="283"/>
      <c r="H70" s="676">
        <v>327088.52678585495</v>
      </c>
      <c r="I70" s="676">
        <v>0</v>
      </c>
      <c r="J70" s="676">
        <v>6500</v>
      </c>
      <c r="K70" s="676">
        <v>0</v>
      </c>
      <c r="L70" s="676">
        <v>0</v>
      </c>
      <c r="M70" s="676">
        <v>0</v>
      </c>
      <c r="N70" s="676">
        <v>1848.69</v>
      </c>
      <c r="O70" s="676">
        <v>0</v>
      </c>
      <c r="P70" s="676">
        <v>-2.7800000000000011</v>
      </c>
      <c r="Q70" s="676">
        <v>-3291.75</v>
      </c>
      <c r="R70" s="676">
        <v>0</v>
      </c>
      <c r="S70" s="676">
        <v>4465.75</v>
      </c>
      <c r="T70" s="676">
        <v>336608.43678585492</v>
      </c>
    </row>
    <row r="71" spans="1:20" customFormat="1" ht="14.5">
      <c r="A71" s="235">
        <v>4201</v>
      </c>
      <c r="B71" s="235">
        <v>103503</v>
      </c>
      <c r="C71" s="235" t="s">
        <v>563</v>
      </c>
      <c r="D71" s="168" t="s">
        <v>354</v>
      </c>
      <c r="E71" s="236" t="s">
        <v>543</v>
      </c>
      <c r="F71" s="236" t="s">
        <v>537</v>
      </c>
      <c r="G71" s="283"/>
      <c r="H71" s="676">
        <v>7430833.6708984487</v>
      </c>
      <c r="I71" s="676">
        <v>0</v>
      </c>
      <c r="J71" s="676">
        <v>56158.66333333333</v>
      </c>
      <c r="K71" s="676">
        <v>341850</v>
      </c>
      <c r="L71" s="676">
        <v>8283.66</v>
      </c>
      <c r="M71" s="676">
        <v>0</v>
      </c>
      <c r="N71" s="676">
        <v>0</v>
      </c>
      <c r="O71" s="676">
        <v>-141029.05499999999</v>
      </c>
      <c r="P71" s="676">
        <v>0</v>
      </c>
      <c r="Q71" s="676">
        <v>-32508.000000000004</v>
      </c>
      <c r="R71" s="676">
        <v>-18177.389999999996</v>
      </c>
      <c r="S71" s="676">
        <v>24503.13</v>
      </c>
      <c r="T71" s="676">
        <v>7669914.6792317824</v>
      </c>
    </row>
    <row r="72" spans="1:20" customFormat="1" ht="14.5">
      <c r="A72" s="235">
        <v>4015</v>
      </c>
      <c r="B72" s="235">
        <v>103483</v>
      </c>
      <c r="C72" s="235" t="s">
        <v>564</v>
      </c>
      <c r="D72" s="168" t="s">
        <v>355</v>
      </c>
      <c r="E72" s="236" t="s">
        <v>543</v>
      </c>
      <c r="F72" s="236" t="s">
        <v>537</v>
      </c>
      <c r="G72" s="283"/>
      <c r="H72" s="676">
        <v>4575136.8977949172</v>
      </c>
      <c r="I72" s="676">
        <v>0</v>
      </c>
      <c r="J72" s="676">
        <v>28486.333333333332</v>
      </c>
      <c r="K72" s="676">
        <v>206880</v>
      </c>
      <c r="L72" s="676">
        <v>856.93</v>
      </c>
      <c r="M72" s="676">
        <v>0</v>
      </c>
      <c r="N72" s="676">
        <v>0</v>
      </c>
      <c r="O72" s="676">
        <v>-58569.06749999999</v>
      </c>
      <c r="P72" s="676">
        <v>0</v>
      </c>
      <c r="Q72" s="676">
        <v>-20331</v>
      </c>
      <c r="R72" s="676">
        <v>-11368.4175</v>
      </c>
      <c r="S72" s="676">
        <v>16571.88</v>
      </c>
      <c r="T72" s="676">
        <v>4737663.5561282495</v>
      </c>
    </row>
    <row r="73" spans="1:20" customFormat="1" ht="14.5">
      <c r="A73" s="235">
        <v>3411</v>
      </c>
      <c r="B73" s="235">
        <v>103479</v>
      </c>
      <c r="C73" s="235" t="s">
        <v>633</v>
      </c>
      <c r="D73" s="168" t="s">
        <v>423</v>
      </c>
      <c r="E73" s="236" t="s">
        <v>539</v>
      </c>
      <c r="F73" s="236" t="s">
        <v>537</v>
      </c>
      <c r="G73" s="283"/>
      <c r="H73" s="676">
        <v>938364.8116547988</v>
      </c>
      <c r="I73" s="676">
        <v>0</v>
      </c>
      <c r="J73" s="676">
        <v>306965.02333333332</v>
      </c>
      <c r="K73" s="676">
        <v>74384</v>
      </c>
      <c r="L73" s="676">
        <v>37171</v>
      </c>
      <c r="M73" s="676">
        <v>0</v>
      </c>
      <c r="N73" s="676">
        <v>0</v>
      </c>
      <c r="O73" s="676">
        <v>-25241.1</v>
      </c>
      <c r="P73" s="676">
        <v>0</v>
      </c>
      <c r="Q73" s="676">
        <v>-4347</v>
      </c>
      <c r="R73" s="676">
        <v>-2777.5199999999995</v>
      </c>
      <c r="S73" s="676">
        <v>0</v>
      </c>
      <c r="T73" s="676">
        <v>1324519.214988132</v>
      </c>
    </row>
    <row r="74" spans="1:20" customFormat="1" ht="14.5">
      <c r="A74" s="235">
        <v>4223</v>
      </c>
      <c r="B74" s="235">
        <v>103509</v>
      </c>
      <c r="C74" s="235" t="s">
        <v>565</v>
      </c>
      <c r="D74" s="168" t="s">
        <v>356</v>
      </c>
      <c r="E74" s="236" t="s">
        <v>543</v>
      </c>
      <c r="F74" s="236" t="s">
        <v>537</v>
      </c>
      <c r="G74" s="283"/>
      <c r="H74" s="676">
        <v>6560541.7269714428</v>
      </c>
      <c r="I74" s="676">
        <v>909705.04333333345</v>
      </c>
      <c r="J74" s="676">
        <v>72199.333333333343</v>
      </c>
      <c r="K74" s="676">
        <v>324636</v>
      </c>
      <c r="L74" s="676">
        <v>8283.66</v>
      </c>
      <c r="M74" s="676">
        <v>0</v>
      </c>
      <c r="N74" s="676">
        <v>0</v>
      </c>
      <c r="O74" s="676">
        <v>-139884.17250000002</v>
      </c>
      <c r="P74" s="676">
        <v>0</v>
      </c>
      <c r="Q74" s="676">
        <v>0</v>
      </c>
      <c r="R74" s="676">
        <v>-15052.207500000002</v>
      </c>
      <c r="S74" s="676">
        <v>0</v>
      </c>
      <c r="T74" s="676">
        <v>7720429.38363811</v>
      </c>
    </row>
    <row r="75" spans="1:20" customFormat="1" ht="14.5">
      <c r="A75" s="235">
        <v>3317</v>
      </c>
      <c r="B75" s="235">
        <v>103421</v>
      </c>
      <c r="C75" s="235" t="s">
        <v>635</v>
      </c>
      <c r="D75" s="168" t="s">
        <v>425</v>
      </c>
      <c r="E75" s="236" t="s">
        <v>539</v>
      </c>
      <c r="F75" s="236" t="s">
        <v>537</v>
      </c>
      <c r="G75" s="283"/>
      <c r="H75" s="676">
        <v>1104722.1571996047</v>
      </c>
      <c r="I75" s="676">
        <v>0</v>
      </c>
      <c r="J75" s="676">
        <v>39153.016666666663</v>
      </c>
      <c r="K75" s="676">
        <v>82924</v>
      </c>
      <c r="L75" s="676">
        <v>40247.5</v>
      </c>
      <c r="M75" s="676">
        <v>0</v>
      </c>
      <c r="N75" s="676">
        <v>1769.76</v>
      </c>
      <c r="O75" s="676">
        <v>-3935.2200000000012</v>
      </c>
      <c r="P75" s="676">
        <v>-2.1999999999999886</v>
      </c>
      <c r="Q75" s="676">
        <v>0</v>
      </c>
      <c r="R75" s="676">
        <v>-4048.92</v>
      </c>
      <c r="S75" s="676">
        <v>0</v>
      </c>
      <c r="T75" s="676">
        <v>1260830.0938662714</v>
      </c>
    </row>
    <row r="76" spans="1:20" customFormat="1" ht="14.5">
      <c r="A76" s="235">
        <v>1023</v>
      </c>
      <c r="B76" s="235">
        <v>103136</v>
      </c>
      <c r="C76" s="235" t="s">
        <v>636</v>
      </c>
      <c r="D76" s="168" t="s">
        <v>426</v>
      </c>
      <c r="E76" s="236" t="s">
        <v>536</v>
      </c>
      <c r="F76" s="236" t="s">
        <v>537</v>
      </c>
      <c r="G76" s="283"/>
      <c r="H76" s="676">
        <v>427672.50390818191</v>
      </c>
      <c r="I76" s="676">
        <v>0</v>
      </c>
      <c r="J76" s="676">
        <v>33449.247192982453</v>
      </c>
      <c r="K76" s="676">
        <v>0</v>
      </c>
      <c r="L76" s="676">
        <v>0</v>
      </c>
      <c r="M76" s="676">
        <v>0</v>
      </c>
      <c r="N76" s="676">
        <v>0</v>
      </c>
      <c r="O76" s="676">
        <v>0</v>
      </c>
      <c r="P76" s="676">
        <v>0</v>
      </c>
      <c r="Q76" s="676">
        <v>-3291.75</v>
      </c>
      <c r="R76" s="676">
        <v>0</v>
      </c>
      <c r="S76" s="676">
        <v>4540</v>
      </c>
      <c r="T76" s="676">
        <v>462370.00110116438</v>
      </c>
    </row>
    <row r="77" spans="1:20" customFormat="1" ht="14.5">
      <c r="A77" s="235">
        <v>2015</v>
      </c>
      <c r="B77" s="235">
        <v>134102</v>
      </c>
      <c r="C77" s="235" t="s">
        <v>566</v>
      </c>
      <c r="D77" s="168" t="s">
        <v>357</v>
      </c>
      <c r="E77" s="236" t="s">
        <v>539</v>
      </c>
      <c r="F77" s="236" t="s">
        <v>537</v>
      </c>
      <c r="G77" s="283"/>
      <c r="H77" s="676">
        <v>2031671.1932307058</v>
      </c>
      <c r="I77" s="676">
        <v>0</v>
      </c>
      <c r="J77" s="676">
        <v>85428.6204</v>
      </c>
      <c r="K77" s="676">
        <v>149984</v>
      </c>
      <c r="L77" s="676">
        <v>58773</v>
      </c>
      <c r="M77" s="676">
        <v>0</v>
      </c>
      <c r="N77" s="676">
        <v>0</v>
      </c>
      <c r="O77" s="676">
        <v>-30999.075000000001</v>
      </c>
      <c r="P77" s="676">
        <v>0</v>
      </c>
      <c r="Q77" s="676">
        <v>-9471</v>
      </c>
      <c r="R77" s="676">
        <v>-7667.5199999999995</v>
      </c>
      <c r="S77" s="676">
        <v>8845.3799999999992</v>
      </c>
      <c r="T77" s="676">
        <v>2286564.5986307054</v>
      </c>
    </row>
    <row r="78" spans="1:20" customFormat="1" ht="14.5">
      <c r="A78" s="235">
        <v>4063</v>
      </c>
      <c r="B78" s="235">
        <v>103486</v>
      </c>
      <c r="C78" s="235" t="s">
        <v>599</v>
      </c>
      <c r="D78" s="168" t="s">
        <v>793</v>
      </c>
      <c r="E78" s="236" t="s">
        <v>543</v>
      </c>
      <c r="F78" s="236" t="s">
        <v>537</v>
      </c>
      <c r="G78" s="283"/>
      <c r="H78" s="676">
        <v>5192555.9846266434</v>
      </c>
      <c r="I78" s="676">
        <v>0</v>
      </c>
      <c r="J78" s="676">
        <v>116904.33333333331</v>
      </c>
      <c r="K78" s="676">
        <v>209086</v>
      </c>
      <c r="L78" s="676">
        <v>1999.5</v>
      </c>
      <c r="M78" s="676">
        <v>0</v>
      </c>
      <c r="N78" s="676">
        <v>0</v>
      </c>
      <c r="O78" s="676">
        <v>-90712.770000000019</v>
      </c>
      <c r="P78" s="676">
        <v>0</v>
      </c>
      <c r="Q78" s="676">
        <v>-24312.75</v>
      </c>
      <c r="R78" s="676">
        <v>-11881.732499999998</v>
      </c>
      <c r="S78" s="676">
        <v>17066.87</v>
      </c>
      <c r="T78" s="676">
        <v>5410705.4354599761</v>
      </c>
    </row>
    <row r="79" spans="1:20" customFormat="1" ht="14.5">
      <c r="A79" s="235">
        <v>1016</v>
      </c>
      <c r="B79" s="235">
        <v>103129</v>
      </c>
      <c r="C79" s="235" t="s">
        <v>639</v>
      </c>
      <c r="D79" s="168" t="s">
        <v>429</v>
      </c>
      <c r="E79" s="236" t="s">
        <v>536</v>
      </c>
      <c r="F79" s="236" t="s">
        <v>537</v>
      </c>
      <c r="G79" s="283"/>
      <c r="H79" s="676">
        <v>482883.94270868553</v>
      </c>
      <c r="I79" s="676">
        <v>0</v>
      </c>
      <c r="J79" s="676">
        <v>31352.066666666666</v>
      </c>
      <c r="K79" s="676">
        <v>0</v>
      </c>
      <c r="L79" s="676">
        <v>0</v>
      </c>
      <c r="M79" s="676">
        <v>0</v>
      </c>
      <c r="N79" s="676">
        <v>2300.4499999999998</v>
      </c>
      <c r="O79" s="676">
        <v>0</v>
      </c>
      <c r="P79" s="676">
        <v>-2.42</v>
      </c>
      <c r="Q79" s="676">
        <v>-3291.75</v>
      </c>
      <c r="R79" s="676">
        <v>0</v>
      </c>
      <c r="S79" s="676">
        <v>4810</v>
      </c>
      <c r="T79" s="676">
        <v>518052.28937535221</v>
      </c>
    </row>
    <row r="80" spans="1:20" customFormat="1" ht="14.5">
      <c r="A80" s="235">
        <v>2115</v>
      </c>
      <c r="B80" s="235">
        <v>103221</v>
      </c>
      <c r="C80" s="235" t="s">
        <v>640</v>
      </c>
      <c r="D80" s="168" t="s">
        <v>430</v>
      </c>
      <c r="E80" s="236" t="s">
        <v>539</v>
      </c>
      <c r="F80" s="236" t="s">
        <v>537</v>
      </c>
      <c r="G80" s="283"/>
      <c r="H80" s="676">
        <v>1414911.6938490218</v>
      </c>
      <c r="I80" s="676">
        <v>0</v>
      </c>
      <c r="J80" s="676">
        <v>76627.12</v>
      </c>
      <c r="K80" s="676">
        <v>117744</v>
      </c>
      <c r="L80" s="676">
        <v>38631.64</v>
      </c>
      <c r="M80" s="676">
        <v>0</v>
      </c>
      <c r="N80" s="676">
        <v>2720.88</v>
      </c>
      <c r="O80" s="676">
        <v>-31402.312499999996</v>
      </c>
      <c r="P80" s="676">
        <v>-2.06</v>
      </c>
      <c r="Q80" s="676">
        <v>-5139.75</v>
      </c>
      <c r="R80" s="676">
        <v>-5457.24</v>
      </c>
      <c r="S80" s="676">
        <v>0</v>
      </c>
      <c r="T80" s="676">
        <v>1608633.9713490214</v>
      </c>
    </row>
    <row r="81" spans="1:20" customFormat="1" ht="14.5">
      <c r="A81" s="235">
        <v>2441</v>
      </c>
      <c r="B81" s="235">
        <v>103368</v>
      </c>
      <c r="C81" s="235" t="s">
        <v>641</v>
      </c>
      <c r="D81" s="168" t="s">
        <v>431</v>
      </c>
      <c r="E81" s="236" t="s">
        <v>539</v>
      </c>
      <c r="F81" s="236" t="s">
        <v>537</v>
      </c>
      <c r="G81" s="283"/>
      <c r="H81" s="676">
        <v>1711600.9036936555</v>
      </c>
      <c r="I81" s="676">
        <v>0</v>
      </c>
      <c r="J81" s="676">
        <v>75497.556666666671</v>
      </c>
      <c r="K81" s="676">
        <v>155844</v>
      </c>
      <c r="L81" s="676">
        <v>39654.93</v>
      </c>
      <c r="M81" s="676">
        <v>0</v>
      </c>
      <c r="N81" s="676">
        <v>3132.42</v>
      </c>
      <c r="O81" s="676">
        <v>-10750.484999999999</v>
      </c>
      <c r="P81" s="676">
        <v>-2.1</v>
      </c>
      <c r="Q81" s="676">
        <v>-9471</v>
      </c>
      <c r="R81" s="676">
        <v>-6689.5199999999986</v>
      </c>
      <c r="S81" s="676">
        <v>8136.63</v>
      </c>
      <c r="T81" s="676">
        <v>1966953.3353603217</v>
      </c>
    </row>
    <row r="82" spans="1:20" customFormat="1" ht="14.5">
      <c r="A82" s="235">
        <v>2321</v>
      </c>
      <c r="B82" s="235">
        <v>103339</v>
      </c>
      <c r="C82" s="235" t="s">
        <v>642</v>
      </c>
      <c r="D82" s="168" t="s">
        <v>432</v>
      </c>
      <c r="E82" s="236" t="s">
        <v>539</v>
      </c>
      <c r="F82" s="236" t="s">
        <v>537</v>
      </c>
      <c r="G82" s="283"/>
      <c r="H82" s="676">
        <v>947924.16144182417</v>
      </c>
      <c r="I82" s="676">
        <v>0</v>
      </c>
      <c r="J82" s="676">
        <v>108703.75666666665</v>
      </c>
      <c r="K82" s="676">
        <v>88426</v>
      </c>
      <c r="L82" s="676">
        <v>20244.29</v>
      </c>
      <c r="M82" s="676">
        <v>0</v>
      </c>
      <c r="N82" s="676">
        <v>3058.96</v>
      </c>
      <c r="O82" s="676">
        <v>-11815.852499999997</v>
      </c>
      <c r="P82" s="676">
        <v>-7.38</v>
      </c>
      <c r="Q82" s="676">
        <v>-5139.75</v>
      </c>
      <c r="R82" s="676">
        <v>-3501.24</v>
      </c>
      <c r="S82" s="676">
        <v>6047.5</v>
      </c>
      <c r="T82" s="676">
        <v>1153940.4456084908</v>
      </c>
    </row>
    <row r="83" spans="1:20" customFormat="1" ht="14.5">
      <c r="A83" s="235">
        <v>7062</v>
      </c>
      <c r="B83" s="235">
        <v>103632</v>
      </c>
      <c r="C83" s="235" t="s">
        <v>644</v>
      </c>
      <c r="D83" s="168" t="s">
        <v>434</v>
      </c>
      <c r="E83" s="236" t="s">
        <v>541</v>
      </c>
      <c r="F83" s="236" t="s">
        <v>537</v>
      </c>
      <c r="G83" s="283"/>
      <c r="H83" s="676">
        <v>1171485.6586956519</v>
      </c>
      <c r="I83" s="676">
        <v>0</v>
      </c>
      <c r="J83" s="676">
        <v>2896959.6092677382</v>
      </c>
      <c r="K83" s="676">
        <v>64136</v>
      </c>
      <c r="L83" s="676">
        <v>14849</v>
      </c>
      <c r="M83" s="676">
        <v>0</v>
      </c>
      <c r="N83" s="676">
        <v>7078.9999999999991</v>
      </c>
      <c r="O83" s="676">
        <v>0</v>
      </c>
      <c r="P83" s="676">
        <v>-14.800000000000011</v>
      </c>
      <c r="Q83" s="676">
        <v>-3291.75</v>
      </c>
      <c r="R83" s="676">
        <v>0</v>
      </c>
      <c r="S83" s="676">
        <v>10935.63</v>
      </c>
      <c r="T83" s="676">
        <v>4162138.3479633899</v>
      </c>
    </row>
    <row r="84" spans="1:20" customFormat="1" ht="14.5">
      <c r="A84" s="235">
        <v>2462</v>
      </c>
      <c r="B84" s="235">
        <v>103388</v>
      </c>
      <c r="C84" s="235" t="s">
        <v>567</v>
      </c>
      <c r="D84" s="168" t="s">
        <v>358</v>
      </c>
      <c r="E84" s="236" t="s">
        <v>539</v>
      </c>
      <c r="F84" s="236" t="s">
        <v>537</v>
      </c>
      <c r="G84" s="283"/>
      <c r="H84" s="676">
        <v>1667410.3149999997</v>
      </c>
      <c r="I84" s="676">
        <v>0</v>
      </c>
      <c r="J84" s="676">
        <v>37676.800000000003</v>
      </c>
      <c r="K84" s="676">
        <v>24722</v>
      </c>
      <c r="L84" s="676">
        <v>106872</v>
      </c>
      <c r="M84" s="676">
        <v>0</v>
      </c>
      <c r="N84" s="676">
        <v>0</v>
      </c>
      <c r="O84" s="676">
        <v>-43660.815000000002</v>
      </c>
      <c r="P84" s="676">
        <v>0</v>
      </c>
      <c r="Q84" s="676">
        <v>-11394</v>
      </c>
      <c r="R84" s="676">
        <v>-8254.32</v>
      </c>
      <c r="S84" s="676">
        <v>8770</v>
      </c>
      <c r="T84" s="676">
        <v>1782141.9799999997</v>
      </c>
    </row>
    <row r="85" spans="1:20" customFormat="1" ht="14.5">
      <c r="A85" s="235">
        <v>7012</v>
      </c>
      <c r="B85" s="235">
        <v>103603</v>
      </c>
      <c r="C85" s="235" t="s">
        <v>711</v>
      </c>
      <c r="D85" s="168" t="s">
        <v>500</v>
      </c>
      <c r="E85" s="236" t="s">
        <v>541</v>
      </c>
      <c r="F85" s="236" t="s">
        <v>537</v>
      </c>
      <c r="G85" s="283"/>
      <c r="H85" s="676">
        <v>536205.04760869569</v>
      </c>
      <c r="I85" s="676">
        <v>0</v>
      </c>
      <c r="J85" s="676">
        <v>745959.08463014581</v>
      </c>
      <c r="K85" s="676">
        <v>25754</v>
      </c>
      <c r="L85" s="676">
        <v>18532</v>
      </c>
      <c r="M85" s="676">
        <v>0</v>
      </c>
      <c r="N85" s="676">
        <v>2243.0500000000002</v>
      </c>
      <c r="O85" s="676">
        <v>0</v>
      </c>
      <c r="P85" s="676">
        <v>-16.110000000000014</v>
      </c>
      <c r="Q85" s="676">
        <v>-3291.75</v>
      </c>
      <c r="R85" s="676">
        <v>0</v>
      </c>
      <c r="S85" s="676">
        <v>7098.25</v>
      </c>
      <c r="T85" s="676">
        <v>1332483.5722388416</v>
      </c>
    </row>
    <row r="86" spans="1:20" customFormat="1" ht="14.5">
      <c r="A86" s="235">
        <v>2127</v>
      </c>
      <c r="B86" s="235">
        <v>103227</v>
      </c>
      <c r="C86" s="235" t="s">
        <v>568</v>
      </c>
      <c r="D86" s="168" t="s">
        <v>359</v>
      </c>
      <c r="E86" s="236" t="s">
        <v>539</v>
      </c>
      <c r="F86" s="236" t="s">
        <v>537</v>
      </c>
      <c r="G86" s="283"/>
      <c r="H86" s="676">
        <v>2172822.3938768776</v>
      </c>
      <c r="I86" s="676">
        <v>0</v>
      </c>
      <c r="J86" s="676">
        <v>156547.72912280704</v>
      </c>
      <c r="K86" s="676">
        <v>203366</v>
      </c>
      <c r="L86" s="676">
        <v>75429.33</v>
      </c>
      <c r="M86" s="676">
        <v>0</v>
      </c>
      <c r="N86" s="676">
        <v>0</v>
      </c>
      <c r="O86" s="676">
        <v>-46628.054999999993</v>
      </c>
      <c r="P86" s="676">
        <v>0</v>
      </c>
      <c r="Q86" s="676">
        <v>0</v>
      </c>
      <c r="R86" s="676">
        <v>-8215.1999999999989</v>
      </c>
      <c r="S86" s="676">
        <v>0</v>
      </c>
      <c r="T86" s="676">
        <v>2553322.1979996846</v>
      </c>
    </row>
    <row r="87" spans="1:20" customFormat="1" ht="14.5">
      <c r="A87" s="235">
        <v>2129</v>
      </c>
      <c r="B87" s="235">
        <v>103229</v>
      </c>
      <c r="C87" s="235" t="s">
        <v>569</v>
      </c>
      <c r="D87" s="168" t="s">
        <v>360</v>
      </c>
      <c r="E87" s="236" t="s">
        <v>539</v>
      </c>
      <c r="F87" s="236" t="s">
        <v>537</v>
      </c>
      <c r="G87" s="283"/>
      <c r="H87" s="676">
        <v>1183809.8939326848</v>
      </c>
      <c r="I87" s="676">
        <v>0</v>
      </c>
      <c r="J87" s="676">
        <v>147362.74166666667</v>
      </c>
      <c r="K87" s="676">
        <v>56030</v>
      </c>
      <c r="L87" s="676">
        <v>105749.86</v>
      </c>
      <c r="M87" s="676">
        <v>0</v>
      </c>
      <c r="N87" s="676">
        <v>0</v>
      </c>
      <c r="O87" s="676">
        <v>-13165.124999999998</v>
      </c>
      <c r="P87" s="676">
        <v>0</v>
      </c>
      <c r="Q87" s="676">
        <v>-7128</v>
      </c>
      <c r="R87" s="676">
        <v>-5163.8400000000011</v>
      </c>
      <c r="S87" s="676">
        <v>6970</v>
      </c>
      <c r="T87" s="676">
        <v>1474465.5305993515</v>
      </c>
    </row>
    <row r="88" spans="1:20" customFormat="1" ht="14.5">
      <c r="A88" s="235">
        <v>2128</v>
      </c>
      <c r="B88" s="235">
        <v>103228</v>
      </c>
      <c r="C88" s="235" t="s">
        <v>570</v>
      </c>
      <c r="D88" s="168" t="s">
        <v>361</v>
      </c>
      <c r="E88" s="236" t="s">
        <v>539</v>
      </c>
      <c r="F88" s="236" t="s">
        <v>537</v>
      </c>
      <c r="G88" s="283"/>
      <c r="H88" s="676">
        <v>1620143.6444214284</v>
      </c>
      <c r="I88" s="676">
        <v>0</v>
      </c>
      <c r="J88" s="676">
        <v>142183.98416666666</v>
      </c>
      <c r="K88" s="676">
        <v>108854</v>
      </c>
      <c r="L88" s="676">
        <v>18882.93</v>
      </c>
      <c r="M88" s="676">
        <v>0</v>
      </c>
      <c r="N88" s="676">
        <v>0</v>
      </c>
      <c r="O88" s="676">
        <v>-14262.210000000001</v>
      </c>
      <c r="P88" s="676">
        <v>0</v>
      </c>
      <c r="Q88" s="676">
        <v>-9471</v>
      </c>
      <c r="R88" s="676">
        <v>-7217.6399999999994</v>
      </c>
      <c r="S88" s="676">
        <v>8128.75</v>
      </c>
      <c r="T88" s="676">
        <v>1867242.4585880951</v>
      </c>
    </row>
    <row r="89" spans="1:20" customFormat="1" ht="14.5">
      <c r="A89" s="235">
        <v>2420</v>
      </c>
      <c r="B89" s="235">
        <v>103353</v>
      </c>
      <c r="C89" s="235" t="s">
        <v>712</v>
      </c>
      <c r="D89" s="168" t="s">
        <v>501</v>
      </c>
      <c r="E89" s="236" t="s">
        <v>539</v>
      </c>
      <c r="F89" s="236" t="s">
        <v>537</v>
      </c>
      <c r="G89" s="283"/>
      <c r="H89" s="676">
        <v>1642262.23</v>
      </c>
      <c r="I89" s="676">
        <v>0</v>
      </c>
      <c r="J89" s="676">
        <v>88620.656666666677</v>
      </c>
      <c r="K89" s="676">
        <v>19112</v>
      </c>
      <c r="L89" s="676">
        <v>101051.57</v>
      </c>
      <c r="M89" s="676">
        <v>0</v>
      </c>
      <c r="N89" s="676">
        <v>3627.6</v>
      </c>
      <c r="O89" s="676">
        <v>-18401.73</v>
      </c>
      <c r="P89" s="676">
        <v>-6.27</v>
      </c>
      <c r="Q89" s="676">
        <v>-9471</v>
      </c>
      <c r="R89" s="676">
        <v>-8254.32</v>
      </c>
      <c r="S89" s="676">
        <v>8736.25</v>
      </c>
      <c r="T89" s="676">
        <v>1827276.9866666668</v>
      </c>
    </row>
    <row r="90" spans="1:20" customFormat="1" ht="14.5">
      <c r="A90" s="235">
        <v>1012</v>
      </c>
      <c r="B90" s="235">
        <v>103126</v>
      </c>
      <c r="C90" s="235" t="s">
        <v>646</v>
      </c>
      <c r="D90" s="168" t="s">
        <v>436</v>
      </c>
      <c r="E90" s="236" t="s">
        <v>536</v>
      </c>
      <c r="F90" s="236" t="s">
        <v>537</v>
      </c>
      <c r="G90" s="283"/>
      <c r="H90" s="676">
        <v>621193.55778129748</v>
      </c>
      <c r="I90" s="676">
        <v>0</v>
      </c>
      <c r="J90" s="676">
        <v>5529.722189473684</v>
      </c>
      <c r="K90" s="676">
        <v>0</v>
      </c>
      <c r="L90" s="676">
        <v>0</v>
      </c>
      <c r="M90" s="676">
        <v>0</v>
      </c>
      <c r="N90" s="676">
        <v>4189.84</v>
      </c>
      <c r="O90" s="676">
        <v>0</v>
      </c>
      <c r="P90" s="676">
        <v>-30.69</v>
      </c>
      <c r="Q90" s="676">
        <v>-3291.75</v>
      </c>
      <c r="R90" s="676">
        <v>0</v>
      </c>
      <c r="S90" s="676">
        <v>4938.25</v>
      </c>
      <c r="T90" s="676">
        <v>632528.92997077119</v>
      </c>
    </row>
    <row r="91" spans="1:20" customFormat="1" ht="14.5">
      <c r="A91" s="235">
        <v>2133</v>
      </c>
      <c r="B91" s="235">
        <v>103233</v>
      </c>
      <c r="C91" s="235" t="s">
        <v>571</v>
      </c>
      <c r="D91" s="168" t="s">
        <v>362</v>
      </c>
      <c r="E91" s="236" t="s">
        <v>539</v>
      </c>
      <c r="F91" s="236" t="s">
        <v>537</v>
      </c>
      <c r="G91" s="283"/>
      <c r="H91" s="676">
        <v>2113728.1646972937</v>
      </c>
      <c r="I91" s="676">
        <v>0</v>
      </c>
      <c r="J91" s="676">
        <v>86421.319999999992</v>
      </c>
      <c r="K91" s="676">
        <v>161662</v>
      </c>
      <c r="L91" s="676">
        <v>69562.789999999994</v>
      </c>
      <c r="M91" s="676">
        <v>0</v>
      </c>
      <c r="N91" s="676">
        <v>0</v>
      </c>
      <c r="O91" s="676">
        <v>-34781.040000000001</v>
      </c>
      <c r="P91" s="676">
        <v>0</v>
      </c>
      <c r="Q91" s="676">
        <v>-9471</v>
      </c>
      <c r="R91" s="676">
        <v>-8195.6400000000012</v>
      </c>
      <c r="S91" s="676">
        <v>0</v>
      </c>
      <c r="T91" s="676">
        <v>2378926.5946972934</v>
      </c>
    </row>
    <row r="92" spans="1:20" customFormat="1" ht="14.5">
      <c r="A92" s="235">
        <v>3322</v>
      </c>
      <c r="B92" s="235">
        <v>103426</v>
      </c>
      <c r="C92" s="235" t="s">
        <v>572</v>
      </c>
      <c r="D92" s="168" t="s">
        <v>363</v>
      </c>
      <c r="E92" s="236" t="s">
        <v>539</v>
      </c>
      <c r="F92" s="236" t="s">
        <v>1000</v>
      </c>
      <c r="G92" s="283"/>
      <c r="H92" s="676">
        <v>134217.99228837207</v>
      </c>
      <c r="I92" s="676">
        <v>0</v>
      </c>
      <c r="J92" s="676">
        <v>0</v>
      </c>
      <c r="K92" s="676">
        <v>24850</v>
      </c>
      <c r="L92" s="676">
        <v>0</v>
      </c>
      <c r="M92" s="676">
        <v>0</v>
      </c>
      <c r="N92" s="676">
        <v>0</v>
      </c>
      <c r="O92" s="676">
        <v>-4239.97</v>
      </c>
      <c r="P92" s="676">
        <v>0</v>
      </c>
      <c r="Q92" s="676">
        <v>-428.31</v>
      </c>
      <c r="R92" s="676">
        <v>-2151.5999999999995</v>
      </c>
      <c r="S92" s="676">
        <v>0</v>
      </c>
      <c r="T92" s="676">
        <v>152248.11228837207</v>
      </c>
    </row>
    <row r="93" spans="1:20" customFormat="1" ht="14.5">
      <c r="A93" s="235">
        <v>2406</v>
      </c>
      <c r="B93" s="235">
        <v>103345</v>
      </c>
      <c r="C93" s="235" t="s">
        <v>713</v>
      </c>
      <c r="D93" s="168" t="s">
        <v>502</v>
      </c>
      <c r="E93" s="236" t="s">
        <v>539</v>
      </c>
      <c r="F93" s="236" t="s">
        <v>537</v>
      </c>
      <c r="G93" s="283"/>
      <c r="H93" s="676">
        <v>988507.45040000021</v>
      </c>
      <c r="I93" s="676">
        <v>0</v>
      </c>
      <c r="J93" s="676">
        <v>53517.003333333334</v>
      </c>
      <c r="K93" s="676">
        <v>75350</v>
      </c>
      <c r="L93" s="676">
        <v>40729.93</v>
      </c>
      <c r="M93" s="676">
        <v>0</v>
      </c>
      <c r="N93" s="676">
        <v>1408.6500000000003</v>
      </c>
      <c r="O93" s="676">
        <v>-9269.5874999999996</v>
      </c>
      <c r="P93" s="676">
        <v>-32.44</v>
      </c>
      <c r="Q93" s="676">
        <v>-5139.75</v>
      </c>
      <c r="R93" s="676">
        <v>-3951.12</v>
      </c>
      <c r="S93" s="676">
        <v>6283.75</v>
      </c>
      <c r="T93" s="676">
        <v>1147403.8862333333</v>
      </c>
    </row>
    <row r="94" spans="1:20" customFormat="1" ht="14.5">
      <c r="A94" s="235">
        <v>2416</v>
      </c>
      <c r="B94" s="235">
        <v>103351</v>
      </c>
      <c r="C94" s="235" t="s">
        <v>573</v>
      </c>
      <c r="D94" s="168" t="s">
        <v>364</v>
      </c>
      <c r="E94" s="236" t="s">
        <v>539</v>
      </c>
      <c r="F94" s="236" t="s">
        <v>537</v>
      </c>
      <c r="G94" s="283"/>
      <c r="H94" s="676">
        <v>1656742.0999999996</v>
      </c>
      <c r="I94" s="676">
        <v>0</v>
      </c>
      <c r="J94" s="676">
        <v>62202.333333333328</v>
      </c>
      <c r="K94" s="676">
        <v>33262</v>
      </c>
      <c r="L94" s="676">
        <v>96225</v>
      </c>
      <c r="M94" s="676">
        <v>0</v>
      </c>
      <c r="N94" s="676">
        <v>0</v>
      </c>
      <c r="O94" s="676">
        <v>-24446.1</v>
      </c>
      <c r="P94" s="676">
        <v>0</v>
      </c>
      <c r="Q94" s="676">
        <v>-11448</v>
      </c>
      <c r="R94" s="676">
        <v>-8293.4400000000023</v>
      </c>
      <c r="S94" s="676">
        <v>8466.25</v>
      </c>
      <c r="T94" s="676">
        <v>1812710.1433333328</v>
      </c>
    </row>
    <row r="95" spans="1:20" customFormat="1" ht="14.5">
      <c r="A95" s="235">
        <v>3003</v>
      </c>
      <c r="B95" s="235">
        <v>103398</v>
      </c>
      <c r="C95" s="235" t="s">
        <v>647</v>
      </c>
      <c r="D95" s="168" t="s">
        <v>437</v>
      </c>
      <c r="E95" s="236" t="s">
        <v>539</v>
      </c>
      <c r="F95" s="236" t="s">
        <v>537</v>
      </c>
      <c r="G95" s="283"/>
      <c r="H95" s="676">
        <v>874559.25935885159</v>
      </c>
      <c r="I95" s="676">
        <v>0</v>
      </c>
      <c r="J95" s="676">
        <v>51394.13</v>
      </c>
      <c r="K95" s="676">
        <v>28710</v>
      </c>
      <c r="L95" s="676">
        <v>54302</v>
      </c>
      <c r="M95" s="676">
        <v>0</v>
      </c>
      <c r="N95" s="676">
        <v>997.55</v>
      </c>
      <c r="O95" s="676">
        <v>-36967.274999999994</v>
      </c>
      <c r="P95" s="676">
        <v>-2.41</v>
      </c>
      <c r="Q95" s="676">
        <v>-5139.75</v>
      </c>
      <c r="R95" s="676">
        <v>-4107.5999999999995</v>
      </c>
      <c r="S95" s="676">
        <v>0</v>
      </c>
      <c r="T95" s="676">
        <v>963745.90435885161</v>
      </c>
    </row>
    <row r="96" spans="1:20" customFormat="1" ht="14.5">
      <c r="A96" s="235">
        <v>4245</v>
      </c>
      <c r="B96" s="235">
        <v>103519</v>
      </c>
      <c r="C96" s="235" t="s">
        <v>574</v>
      </c>
      <c r="D96" s="168" t="s">
        <v>365</v>
      </c>
      <c r="E96" s="236" t="s">
        <v>543</v>
      </c>
      <c r="F96" s="236" t="s">
        <v>537</v>
      </c>
      <c r="G96" s="283"/>
      <c r="H96" s="676">
        <v>8078459.014207188</v>
      </c>
      <c r="I96" s="676">
        <v>1104749.54</v>
      </c>
      <c r="J96" s="676">
        <v>141028.25</v>
      </c>
      <c r="K96" s="676">
        <v>413336</v>
      </c>
      <c r="L96" s="676">
        <v>7811.49</v>
      </c>
      <c r="M96" s="676">
        <v>0</v>
      </c>
      <c r="N96" s="676">
        <v>0</v>
      </c>
      <c r="O96" s="676">
        <v>-17171.895</v>
      </c>
      <c r="P96" s="676">
        <v>0</v>
      </c>
      <c r="Q96" s="676">
        <v>-39285</v>
      </c>
      <c r="R96" s="676">
        <v>-19098.337499999998</v>
      </c>
      <c r="S96" s="676">
        <v>29633.13</v>
      </c>
      <c r="T96" s="676">
        <v>9699462.1917071883</v>
      </c>
    </row>
    <row r="97" spans="1:20" customFormat="1" ht="14.5">
      <c r="A97" s="235">
        <v>2457</v>
      </c>
      <c r="B97" s="235">
        <v>103384</v>
      </c>
      <c r="C97" s="235" t="s">
        <v>648</v>
      </c>
      <c r="D97" s="168" t="s">
        <v>438</v>
      </c>
      <c r="E97" s="236" t="s">
        <v>539</v>
      </c>
      <c r="F97" s="236" t="s">
        <v>537</v>
      </c>
      <c r="G97" s="283"/>
      <c r="H97" s="676">
        <v>2019759.7739510834</v>
      </c>
      <c r="I97" s="676">
        <v>0</v>
      </c>
      <c r="J97" s="676">
        <v>199400.65406666667</v>
      </c>
      <c r="K97" s="676">
        <v>149984</v>
      </c>
      <c r="L97" s="676">
        <v>70906.86</v>
      </c>
      <c r="M97" s="676">
        <v>0</v>
      </c>
      <c r="N97" s="676">
        <v>8002.26</v>
      </c>
      <c r="O97" s="676">
        <v>-23849.857499999998</v>
      </c>
      <c r="P97" s="676">
        <v>-2.69</v>
      </c>
      <c r="Q97" s="676">
        <v>-9471</v>
      </c>
      <c r="R97" s="676">
        <v>-8136.9599999999991</v>
      </c>
      <c r="S97" s="676">
        <v>8938.75</v>
      </c>
      <c r="T97" s="676">
        <v>2415531.7905177497</v>
      </c>
    </row>
    <row r="98" spans="1:20" customFormat="1" ht="14.5">
      <c r="A98" s="235">
        <v>2142</v>
      </c>
      <c r="B98" s="235">
        <v>103237</v>
      </c>
      <c r="C98" s="235" t="s">
        <v>649</v>
      </c>
      <c r="D98" s="168" t="s">
        <v>439</v>
      </c>
      <c r="E98" s="236" t="s">
        <v>539</v>
      </c>
      <c r="F98" s="236" t="s">
        <v>537</v>
      </c>
      <c r="G98" s="283"/>
      <c r="H98" s="676">
        <v>2123588.2367228512</v>
      </c>
      <c r="I98" s="676">
        <v>0</v>
      </c>
      <c r="J98" s="676">
        <v>146580.32333333333</v>
      </c>
      <c r="K98" s="676">
        <v>143924</v>
      </c>
      <c r="L98" s="676">
        <v>77562.64</v>
      </c>
      <c r="M98" s="676">
        <v>0</v>
      </c>
      <c r="N98" s="676">
        <v>6803.17</v>
      </c>
      <c r="O98" s="676">
        <v>-17336.369999999995</v>
      </c>
      <c r="P98" s="676">
        <v>-252.28</v>
      </c>
      <c r="Q98" s="676">
        <v>-9471</v>
      </c>
      <c r="R98" s="676">
        <v>-8097.84</v>
      </c>
      <c r="S98" s="676">
        <v>8866.75</v>
      </c>
      <c r="T98" s="676">
        <v>2472167.6300561847</v>
      </c>
    </row>
    <row r="99" spans="1:20" customFormat="1" ht="14.5">
      <c r="A99" s="235">
        <v>2469</v>
      </c>
      <c r="B99" s="235">
        <v>103395</v>
      </c>
      <c r="C99" s="235" t="s">
        <v>650</v>
      </c>
      <c r="D99" s="168" t="s">
        <v>440</v>
      </c>
      <c r="E99" s="236" t="s">
        <v>539</v>
      </c>
      <c r="F99" s="236" t="s">
        <v>537</v>
      </c>
      <c r="G99" s="283"/>
      <c r="H99" s="676">
        <v>1581458.4511232579</v>
      </c>
      <c r="I99" s="676">
        <v>0</v>
      </c>
      <c r="J99" s="676">
        <v>120727.75666666668</v>
      </c>
      <c r="K99" s="676">
        <v>100672</v>
      </c>
      <c r="L99" s="676">
        <v>43135</v>
      </c>
      <c r="M99" s="676">
        <v>0</v>
      </c>
      <c r="N99" s="676">
        <v>0</v>
      </c>
      <c r="O99" s="676">
        <v>-18789.142499999994</v>
      </c>
      <c r="P99" s="676">
        <v>0</v>
      </c>
      <c r="Q99" s="676">
        <v>-8559</v>
      </c>
      <c r="R99" s="676">
        <v>-6200.5199999999995</v>
      </c>
      <c r="S99" s="676">
        <v>7768.75</v>
      </c>
      <c r="T99" s="676">
        <v>1820213.2952899244</v>
      </c>
    </row>
    <row r="100" spans="1:20" customFormat="1" ht="14.5">
      <c r="A100" s="235">
        <v>1049</v>
      </c>
      <c r="B100" s="235">
        <v>103145</v>
      </c>
      <c r="C100" s="235" t="s">
        <v>653</v>
      </c>
      <c r="D100" s="168" t="s">
        <v>443</v>
      </c>
      <c r="E100" s="236" t="s">
        <v>536</v>
      </c>
      <c r="F100" s="236" t="s">
        <v>537</v>
      </c>
      <c r="G100" s="283"/>
      <c r="H100" s="676">
        <v>614824.29399549938</v>
      </c>
      <c r="I100" s="676">
        <v>0</v>
      </c>
      <c r="J100" s="676">
        <v>25180.999491228071</v>
      </c>
      <c r="K100" s="676">
        <v>0</v>
      </c>
      <c r="L100" s="676">
        <v>0</v>
      </c>
      <c r="M100" s="676">
        <v>0</v>
      </c>
      <c r="N100" s="676">
        <v>0</v>
      </c>
      <c r="O100" s="676">
        <v>0</v>
      </c>
      <c r="P100" s="676">
        <v>0</v>
      </c>
      <c r="Q100" s="676">
        <v>-3291.75</v>
      </c>
      <c r="R100" s="676">
        <v>0</v>
      </c>
      <c r="S100" s="676">
        <v>5005.75</v>
      </c>
      <c r="T100" s="676">
        <v>641719.2934867274</v>
      </c>
    </row>
    <row r="101" spans="1:20" customFormat="1" ht="14.5">
      <c r="A101" s="235">
        <v>7053</v>
      </c>
      <c r="B101" s="235">
        <v>103628</v>
      </c>
      <c r="C101" s="235" t="s">
        <v>575</v>
      </c>
      <c r="D101" s="168" t="s">
        <v>366</v>
      </c>
      <c r="E101" s="236" t="s">
        <v>541</v>
      </c>
      <c r="F101" s="236" t="s">
        <v>1000</v>
      </c>
      <c r="G101" s="283"/>
      <c r="H101" s="676">
        <v>994950</v>
      </c>
      <c r="I101" s="676">
        <v>0</v>
      </c>
      <c r="J101" s="676">
        <v>1797694.6012343005</v>
      </c>
      <c r="K101" s="676">
        <v>46762</v>
      </c>
      <c r="L101" s="676">
        <v>0</v>
      </c>
      <c r="M101" s="676">
        <v>0</v>
      </c>
      <c r="N101" s="676">
        <v>0</v>
      </c>
      <c r="O101" s="676">
        <v>0</v>
      </c>
      <c r="P101" s="676">
        <v>0</v>
      </c>
      <c r="Q101" s="676">
        <v>-2569.875</v>
      </c>
      <c r="R101" s="676">
        <v>0</v>
      </c>
      <c r="S101" s="676">
        <v>13315</v>
      </c>
      <c r="T101" s="676">
        <v>2850151.7262343005</v>
      </c>
    </row>
    <row r="102" spans="1:20" customFormat="1" ht="14.5">
      <c r="A102" s="235">
        <v>3351</v>
      </c>
      <c r="B102" s="235">
        <v>103443</v>
      </c>
      <c r="C102" s="235" t="s">
        <v>714</v>
      </c>
      <c r="D102" s="168" t="s">
        <v>503</v>
      </c>
      <c r="E102" s="236" t="s">
        <v>539</v>
      </c>
      <c r="F102" s="236" t="s">
        <v>537</v>
      </c>
      <c r="G102" s="283"/>
      <c r="H102" s="676">
        <v>1081788.2420355952</v>
      </c>
      <c r="I102" s="676">
        <v>0</v>
      </c>
      <c r="J102" s="676">
        <v>37810.993333333332</v>
      </c>
      <c r="K102" s="676">
        <v>81002</v>
      </c>
      <c r="L102" s="676">
        <v>37703</v>
      </c>
      <c r="M102" s="676">
        <v>0</v>
      </c>
      <c r="N102" s="676">
        <v>3152.33</v>
      </c>
      <c r="O102" s="676">
        <v>-16208.1975</v>
      </c>
      <c r="P102" s="676">
        <v>-4.3199999999999932</v>
      </c>
      <c r="Q102" s="676">
        <v>-5139.75</v>
      </c>
      <c r="R102" s="676">
        <v>-4068.4799999999996</v>
      </c>
      <c r="S102" s="676">
        <v>0</v>
      </c>
      <c r="T102" s="676">
        <v>1216035.8178689287</v>
      </c>
    </row>
    <row r="103" spans="1:20" customFormat="1" ht="14.5">
      <c r="A103" s="235">
        <v>3328</v>
      </c>
      <c r="B103" s="235">
        <v>103430</v>
      </c>
      <c r="C103" s="235" t="s">
        <v>715</v>
      </c>
      <c r="D103" s="168" t="s">
        <v>504</v>
      </c>
      <c r="E103" s="236" t="s">
        <v>539</v>
      </c>
      <c r="F103" s="236" t="s">
        <v>537</v>
      </c>
      <c r="G103" s="283"/>
      <c r="H103" s="676">
        <v>948110.08837019838</v>
      </c>
      <c r="I103" s="676">
        <v>0</v>
      </c>
      <c r="J103" s="676">
        <v>61380.863333333335</v>
      </c>
      <c r="K103" s="676">
        <v>43734</v>
      </c>
      <c r="L103" s="676">
        <v>48400</v>
      </c>
      <c r="M103" s="676">
        <v>0</v>
      </c>
      <c r="N103" s="676">
        <v>2743.7500000000005</v>
      </c>
      <c r="O103" s="676">
        <v>-2603.61</v>
      </c>
      <c r="P103" s="676">
        <v>-6.81</v>
      </c>
      <c r="Q103" s="676">
        <v>-5139.75</v>
      </c>
      <c r="R103" s="676">
        <v>-4088.0399999999991</v>
      </c>
      <c r="S103" s="676">
        <v>0</v>
      </c>
      <c r="T103" s="676">
        <v>1092530.4917035315</v>
      </c>
    </row>
    <row r="104" spans="1:20" customFormat="1" ht="14.5">
      <c r="A104" s="235">
        <v>1008</v>
      </c>
      <c r="B104" s="235">
        <v>103123</v>
      </c>
      <c r="C104" s="235" t="s">
        <v>656</v>
      </c>
      <c r="D104" s="168" t="s">
        <v>446</v>
      </c>
      <c r="E104" s="236" t="s">
        <v>536</v>
      </c>
      <c r="F104" s="236" t="s">
        <v>537</v>
      </c>
      <c r="G104" s="283"/>
      <c r="H104" s="676">
        <v>374478.64821701514</v>
      </c>
      <c r="I104" s="676">
        <v>0</v>
      </c>
      <c r="J104" s="676">
        <v>577.60578947368413</v>
      </c>
      <c r="K104" s="676">
        <v>0</v>
      </c>
      <c r="L104" s="676">
        <v>0</v>
      </c>
      <c r="M104" s="676">
        <v>0</v>
      </c>
      <c r="N104" s="676">
        <v>1558.46</v>
      </c>
      <c r="O104" s="676">
        <v>0</v>
      </c>
      <c r="P104" s="676">
        <v>-41.15</v>
      </c>
      <c r="Q104" s="676">
        <v>-3291.75</v>
      </c>
      <c r="R104" s="676">
        <v>0</v>
      </c>
      <c r="S104" s="676">
        <v>0</v>
      </c>
      <c r="T104" s="676">
        <v>373281.81400648883</v>
      </c>
    </row>
    <row r="105" spans="1:20" customFormat="1" ht="14.5">
      <c r="A105" s="235">
        <v>4173</v>
      </c>
      <c r="B105" s="235">
        <v>103497</v>
      </c>
      <c r="C105" s="235" t="s">
        <v>576</v>
      </c>
      <c r="D105" s="168" t="s">
        <v>367</v>
      </c>
      <c r="E105" s="236" t="s">
        <v>543</v>
      </c>
      <c r="F105" s="236" t="s">
        <v>537</v>
      </c>
      <c r="G105" s="283"/>
      <c r="H105" s="676">
        <v>5337642.8503339188</v>
      </c>
      <c r="I105" s="676">
        <v>0</v>
      </c>
      <c r="J105" s="676">
        <v>148971.80333333332</v>
      </c>
      <c r="K105" s="676">
        <v>186592</v>
      </c>
      <c r="L105" s="676">
        <v>7583.0599999999995</v>
      </c>
      <c r="M105" s="676">
        <v>0</v>
      </c>
      <c r="N105" s="676">
        <v>0</v>
      </c>
      <c r="O105" s="676">
        <v>-61040.37000000001</v>
      </c>
      <c r="P105" s="676">
        <v>0</v>
      </c>
      <c r="Q105" s="676">
        <v>-24312.75</v>
      </c>
      <c r="R105" s="676">
        <v>-13708.53</v>
      </c>
      <c r="S105" s="676">
        <v>19246.560000000001</v>
      </c>
      <c r="T105" s="676">
        <v>5600974.6236672513</v>
      </c>
    </row>
    <row r="106" spans="1:20" customFormat="1" ht="14.5">
      <c r="A106" s="235">
        <v>2159</v>
      </c>
      <c r="B106" s="235">
        <v>103247</v>
      </c>
      <c r="C106" s="235" t="s">
        <v>659</v>
      </c>
      <c r="D106" s="168" t="s">
        <v>449</v>
      </c>
      <c r="E106" s="236" t="s">
        <v>539</v>
      </c>
      <c r="F106" s="236" t="s">
        <v>537</v>
      </c>
      <c r="G106" s="283"/>
      <c r="H106" s="676">
        <v>1046032.8646250616</v>
      </c>
      <c r="I106" s="676">
        <v>0</v>
      </c>
      <c r="J106" s="676">
        <v>43372.496666666666</v>
      </c>
      <c r="K106" s="676">
        <v>74234</v>
      </c>
      <c r="L106" s="676">
        <v>36444</v>
      </c>
      <c r="M106" s="676">
        <v>0</v>
      </c>
      <c r="N106" s="676">
        <v>630.52</v>
      </c>
      <c r="O106" s="676">
        <v>-12493.807499999999</v>
      </c>
      <c r="P106" s="676">
        <v>-2.0299999999999998</v>
      </c>
      <c r="Q106" s="676">
        <v>-5139.75</v>
      </c>
      <c r="R106" s="676">
        <v>-4068.4799999999996</v>
      </c>
      <c r="S106" s="676">
        <v>6328.75</v>
      </c>
      <c r="T106" s="676">
        <v>1185338.5637917281</v>
      </c>
    </row>
    <row r="107" spans="1:20" customFormat="1" ht="14.5">
      <c r="A107" s="235">
        <v>2161</v>
      </c>
      <c r="B107" s="235">
        <v>103249</v>
      </c>
      <c r="C107" s="235" t="s">
        <v>660</v>
      </c>
      <c r="D107" s="168" t="s">
        <v>450</v>
      </c>
      <c r="E107" s="236" t="s">
        <v>539</v>
      </c>
      <c r="F107" s="236" t="s">
        <v>537</v>
      </c>
      <c r="G107" s="283"/>
      <c r="H107" s="676">
        <v>1237017.940270588</v>
      </c>
      <c r="I107" s="676">
        <v>0</v>
      </c>
      <c r="J107" s="676">
        <v>117688.94333333333</v>
      </c>
      <c r="K107" s="676">
        <v>76682</v>
      </c>
      <c r="L107" s="676">
        <v>85507.29</v>
      </c>
      <c r="M107" s="676">
        <v>0</v>
      </c>
      <c r="N107" s="676">
        <v>2377.3000000000002</v>
      </c>
      <c r="O107" s="676">
        <v>-10642.995000000001</v>
      </c>
      <c r="P107" s="676">
        <v>-6.2799999999999727</v>
      </c>
      <c r="Q107" s="676">
        <v>-5139.75</v>
      </c>
      <c r="R107" s="676">
        <v>-4694.4000000000005</v>
      </c>
      <c r="S107" s="676">
        <v>7255.75</v>
      </c>
      <c r="T107" s="676">
        <v>1506045.7986039214</v>
      </c>
    </row>
    <row r="108" spans="1:20" customFormat="1" ht="14.5">
      <c r="A108" s="235">
        <v>2160</v>
      </c>
      <c r="B108" s="235">
        <v>103248</v>
      </c>
      <c r="C108" s="235" t="s">
        <v>716</v>
      </c>
      <c r="D108" s="168" t="s">
        <v>505</v>
      </c>
      <c r="E108" s="236" t="s">
        <v>539</v>
      </c>
      <c r="F108" s="236" t="s">
        <v>537</v>
      </c>
      <c r="G108" s="283"/>
      <c r="H108" s="676">
        <v>1585401.7747937685</v>
      </c>
      <c r="I108" s="676">
        <v>0</v>
      </c>
      <c r="J108" s="676">
        <v>75019.311000000002</v>
      </c>
      <c r="K108" s="676">
        <v>151300</v>
      </c>
      <c r="L108" s="676">
        <v>18639.93</v>
      </c>
      <c r="M108" s="676">
        <v>0</v>
      </c>
      <c r="N108" s="676">
        <v>3123.43</v>
      </c>
      <c r="O108" s="676">
        <v>-19765.574999999997</v>
      </c>
      <c r="P108" s="676">
        <v>-3.9300000000000068</v>
      </c>
      <c r="Q108" s="676">
        <v>-9471</v>
      </c>
      <c r="R108" s="676">
        <v>-6709.0799999999981</v>
      </c>
      <c r="S108" s="676">
        <v>7892.5</v>
      </c>
      <c r="T108" s="676">
        <v>1805427.3607937684</v>
      </c>
    </row>
    <row r="109" spans="1:20" customFormat="1" ht="14.5">
      <c r="A109" s="235">
        <v>2063</v>
      </c>
      <c r="B109" s="235">
        <v>103193</v>
      </c>
      <c r="C109" s="235" t="s">
        <v>717</v>
      </c>
      <c r="D109" s="168" t="s">
        <v>506</v>
      </c>
      <c r="E109" s="236" t="s">
        <v>539</v>
      </c>
      <c r="F109" s="236" t="s">
        <v>537</v>
      </c>
      <c r="G109" s="283"/>
      <c r="H109" s="676">
        <v>1998680.6464032014</v>
      </c>
      <c r="I109" s="676">
        <v>0</v>
      </c>
      <c r="J109" s="676">
        <v>80422.12999999999</v>
      </c>
      <c r="K109" s="676">
        <v>188616</v>
      </c>
      <c r="L109" s="676">
        <v>37121.22</v>
      </c>
      <c r="M109" s="676">
        <v>0</v>
      </c>
      <c r="N109" s="676">
        <v>2365.5700000000006</v>
      </c>
      <c r="O109" s="676">
        <v>-45356.385000000009</v>
      </c>
      <c r="P109" s="676">
        <v>-58.399999999999977</v>
      </c>
      <c r="Q109" s="676">
        <v>-9471</v>
      </c>
      <c r="R109" s="676">
        <v>-7413.2400000000007</v>
      </c>
      <c r="S109" s="676">
        <v>8819.5</v>
      </c>
      <c r="T109" s="676">
        <v>2253726.0414032009</v>
      </c>
    </row>
    <row r="110" spans="1:20" customFormat="1" ht="14.5">
      <c r="A110" s="235">
        <v>1018</v>
      </c>
      <c r="B110" s="235">
        <v>103131</v>
      </c>
      <c r="C110" s="235" t="s">
        <v>661</v>
      </c>
      <c r="D110" s="168" t="s">
        <v>451</v>
      </c>
      <c r="E110" s="236" t="s">
        <v>536</v>
      </c>
      <c r="F110" s="236" t="s">
        <v>537</v>
      </c>
      <c r="G110" s="283"/>
      <c r="H110" s="676">
        <v>762985.38601235824</v>
      </c>
      <c r="I110" s="676">
        <v>0</v>
      </c>
      <c r="J110" s="676">
        <v>29865.221403508775</v>
      </c>
      <c r="K110" s="676">
        <v>0</v>
      </c>
      <c r="L110" s="676">
        <v>0</v>
      </c>
      <c r="M110" s="676">
        <v>0</v>
      </c>
      <c r="N110" s="676">
        <v>0</v>
      </c>
      <c r="O110" s="676">
        <v>0</v>
      </c>
      <c r="P110" s="676">
        <v>0</v>
      </c>
      <c r="Q110" s="676">
        <v>-3291.75</v>
      </c>
      <c r="R110" s="676">
        <v>0</v>
      </c>
      <c r="S110" s="676">
        <v>5235.25</v>
      </c>
      <c r="T110" s="676">
        <v>794794.10741586704</v>
      </c>
    </row>
    <row r="111" spans="1:20" customFormat="1" ht="14.5">
      <c r="A111" s="235">
        <v>7033</v>
      </c>
      <c r="B111" s="235">
        <v>103613</v>
      </c>
      <c r="C111" s="235" t="s">
        <v>577</v>
      </c>
      <c r="D111" s="168" t="s">
        <v>368</v>
      </c>
      <c r="E111" s="236" t="s">
        <v>541</v>
      </c>
      <c r="F111" s="236" t="s">
        <v>537</v>
      </c>
      <c r="G111" s="283"/>
      <c r="H111" s="676">
        <v>3258476.7823913042</v>
      </c>
      <c r="I111" s="676">
        <v>0</v>
      </c>
      <c r="J111" s="676">
        <v>3427077.8504624264</v>
      </c>
      <c r="K111" s="676">
        <v>105532</v>
      </c>
      <c r="L111" s="676">
        <v>1732.9299999999998</v>
      </c>
      <c r="M111" s="676">
        <v>0</v>
      </c>
      <c r="N111" s="676">
        <v>0</v>
      </c>
      <c r="O111" s="676">
        <v>0</v>
      </c>
      <c r="P111" s="676">
        <v>0</v>
      </c>
      <c r="Q111" s="676">
        <v>-9471</v>
      </c>
      <c r="R111" s="676">
        <v>0</v>
      </c>
      <c r="S111" s="676">
        <v>24503.13</v>
      </c>
      <c r="T111" s="676">
        <v>6807851.6928537302</v>
      </c>
    </row>
    <row r="112" spans="1:20" customFormat="1" ht="14.5">
      <c r="A112" s="235">
        <v>4177</v>
      </c>
      <c r="B112" s="235">
        <v>103498</v>
      </c>
      <c r="C112" s="235" t="s">
        <v>578</v>
      </c>
      <c r="D112" s="168" t="s">
        <v>369</v>
      </c>
      <c r="E112" s="236" t="s">
        <v>543</v>
      </c>
      <c r="F112" s="236" t="s">
        <v>537</v>
      </c>
      <c r="G112" s="283"/>
      <c r="H112" s="676">
        <v>5223967.9201613227</v>
      </c>
      <c r="I112" s="676">
        <v>0</v>
      </c>
      <c r="J112" s="676">
        <v>45659.666666666672</v>
      </c>
      <c r="K112" s="676">
        <v>236500</v>
      </c>
      <c r="L112" s="676">
        <v>285.64</v>
      </c>
      <c r="M112" s="676">
        <v>0</v>
      </c>
      <c r="N112" s="676">
        <v>0</v>
      </c>
      <c r="O112" s="676">
        <v>-83930.50499999999</v>
      </c>
      <c r="P112" s="676">
        <v>0</v>
      </c>
      <c r="Q112" s="676">
        <v>-24312.75</v>
      </c>
      <c r="R112" s="676">
        <v>-12455.4375</v>
      </c>
      <c r="S112" s="676">
        <v>17592.810000000001</v>
      </c>
      <c r="T112" s="676">
        <v>5403307.344327989</v>
      </c>
    </row>
    <row r="113" spans="1:20" customFormat="1" ht="14.5">
      <c r="A113" s="235">
        <v>2169</v>
      </c>
      <c r="B113" s="235">
        <v>103252</v>
      </c>
      <c r="C113" s="235" t="s">
        <v>663</v>
      </c>
      <c r="D113" s="168" t="s">
        <v>453</v>
      </c>
      <c r="E113" s="236" t="s">
        <v>539</v>
      </c>
      <c r="F113" s="236" t="s">
        <v>537</v>
      </c>
      <c r="G113" s="283"/>
      <c r="H113" s="676">
        <v>1916285.4229697499</v>
      </c>
      <c r="I113" s="676">
        <v>0</v>
      </c>
      <c r="J113" s="676">
        <v>9711.119999999999</v>
      </c>
      <c r="K113" s="676">
        <v>185586</v>
      </c>
      <c r="L113" s="676">
        <v>27980.86</v>
      </c>
      <c r="M113" s="676">
        <v>0</v>
      </c>
      <c r="N113" s="676">
        <v>5601.46</v>
      </c>
      <c r="O113" s="676">
        <v>-22259.864999999998</v>
      </c>
      <c r="P113" s="676">
        <v>-2.1699999999999875</v>
      </c>
      <c r="Q113" s="676">
        <v>-9471</v>
      </c>
      <c r="R113" s="676">
        <v>-7119.8399999999992</v>
      </c>
      <c r="S113" s="676">
        <v>8491</v>
      </c>
      <c r="T113" s="676">
        <v>2114802.9879697501</v>
      </c>
    </row>
    <row r="114" spans="1:20" customFormat="1" ht="14.5">
      <c r="A114" s="235">
        <v>2008</v>
      </c>
      <c r="B114" s="235">
        <v>103157</v>
      </c>
      <c r="C114" s="235" t="s">
        <v>718</v>
      </c>
      <c r="D114" s="168" t="s">
        <v>507</v>
      </c>
      <c r="E114" s="236" t="s">
        <v>539</v>
      </c>
      <c r="F114" s="236" t="s">
        <v>537</v>
      </c>
      <c r="G114" s="283"/>
      <c r="H114" s="676">
        <v>2085299.0620208411</v>
      </c>
      <c r="I114" s="676">
        <v>0</v>
      </c>
      <c r="J114" s="676">
        <v>61659.336666666662</v>
      </c>
      <c r="K114" s="676">
        <v>163620</v>
      </c>
      <c r="L114" s="676">
        <v>65659.22</v>
      </c>
      <c r="M114" s="676">
        <v>0</v>
      </c>
      <c r="N114" s="676">
        <v>3652.14</v>
      </c>
      <c r="O114" s="676">
        <v>-21663.622500000001</v>
      </c>
      <c r="P114" s="676">
        <v>-14.639999999999986</v>
      </c>
      <c r="Q114" s="676">
        <v>-9471</v>
      </c>
      <c r="R114" s="676">
        <v>-8332.56</v>
      </c>
      <c r="S114" s="676">
        <v>9141.25</v>
      </c>
      <c r="T114" s="676">
        <v>2349549.1861875076</v>
      </c>
    </row>
    <row r="115" spans="1:20" customFormat="1" ht="14.5">
      <c r="A115" s="235">
        <v>1038</v>
      </c>
      <c r="B115" s="235">
        <v>103142</v>
      </c>
      <c r="C115" s="235" t="s">
        <v>579</v>
      </c>
      <c r="D115" s="168" t="s">
        <v>370</v>
      </c>
      <c r="E115" s="236" t="s">
        <v>536</v>
      </c>
      <c r="F115" s="236" t="s">
        <v>537</v>
      </c>
      <c r="G115" s="283"/>
      <c r="H115" s="676">
        <v>782894.64652724331</v>
      </c>
      <c r="I115" s="676">
        <v>0</v>
      </c>
      <c r="J115" s="676">
        <v>39919.777368421055</v>
      </c>
      <c r="K115" s="676">
        <v>0</v>
      </c>
      <c r="L115" s="676">
        <v>0</v>
      </c>
      <c r="M115" s="676">
        <v>0</v>
      </c>
      <c r="N115" s="676">
        <v>0</v>
      </c>
      <c r="O115" s="676">
        <v>0</v>
      </c>
      <c r="P115" s="676">
        <v>0</v>
      </c>
      <c r="Q115" s="676">
        <v>-3291.75</v>
      </c>
      <c r="R115" s="676">
        <v>0</v>
      </c>
      <c r="S115" s="676">
        <v>5154.25</v>
      </c>
      <c r="T115" s="676">
        <v>824676.9238956644</v>
      </c>
    </row>
    <row r="116" spans="1:20" customFormat="1" ht="14.5">
      <c r="A116" s="235">
        <v>2174</v>
      </c>
      <c r="B116" s="235">
        <v>103255</v>
      </c>
      <c r="C116" s="235" t="s">
        <v>580</v>
      </c>
      <c r="D116" s="168" t="s">
        <v>371</v>
      </c>
      <c r="E116" s="236" t="s">
        <v>539</v>
      </c>
      <c r="F116" s="236" t="s">
        <v>537</v>
      </c>
      <c r="G116" s="283"/>
      <c r="H116" s="676">
        <v>1392728.9848268072</v>
      </c>
      <c r="I116" s="676">
        <v>0</v>
      </c>
      <c r="J116" s="676">
        <v>86863.693333333329</v>
      </c>
      <c r="K116" s="676">
        <v>96960</v>
      </c>
      <c r="L116" s="676">
        <v>100616</v>
      </c>
      <c r="M116" s="676">
        <v>0</v>
      </c>
      <c r="N116" s="676">
        <v>0</v>
      </c>
      <c r="O116" s="676">
        <v>-15399.345000000001</v>
      </c>
      <c r="P116" s="676">
        <v>0</v>
      </c>
      <c r="Q116" s="676">
        <v>-8100</v>
      </c>
      <c r="R116" s="676">
        <v>-5867.9999999999991</v>
      </c>
      <c r="S116" s="676">
        <v>7712.5</v>
      </c>
      <c r="T116" s="676">
        <v>1655513.8331601406</v>
      </c>
    </row>
    <row r="117" spans="1:20" customFormat="1" ht="14.5">
      <c r="A117" s="235">
        <v>2176</v>
      </c>
      <c r="B117" s="235">
        <v>103256</v>
      </c>
      <c r="C117" s="235" t="s">
        <v>719</v>
      </c>
      <c r="D117" s="168" t="s">
        <v>508</v>
      </c>
      <c r="E117" s="236" t="s">
        <v>539</v>
      </c>
      <c r="F117" s="236" t="s">
        <v>537</v>
      </c>
      <c r="G117" s="283"/>
      <c r="H117" s="676">
        <v>3235281.1673488459</v>
      </c>
      <c r="I117" s="676">
        <v>0</v>
      </c>
      <c r="J117" s="676">
        <v>182425.67433333333</v>
      </c>
      <c r="K117" s="676">
        <v>268154</v>
      </c>
      <c r="L117" s="676">
        <v>81226.22</v>
      </c>
      <c r="M117" s="676">
        <v>0</v>
      </c>
      <c r="N117" s="676">
        <v>0</v>
      </c>
      <c r="O117" s="676">
        <v>-49595.294999999998</v>
      </c>
      <c r="P117" s="676">
        <v>0</v>
      </c>
      <c r="Q117" s="676">
        <v>-18745.650000000001</v>
      </c>
      <c r="R117" s="676">
        <v>-12713.999999999998</v>
      </c>
      <c r="S117" s="676">
        <v>11825.5</v>
      </c>
      <c r="T117" s="676">
        <v>3697857.6166821797</v>
      </c>
    </row>
    <row r="118" spans="1:20" customFormat="1" ht="14.5">
      <c r="A118" s="235">
        <v>7047</v>
      </c>
      <c r="B118" s="235">
        <v>103623</v>
      </c>
      <c r="C118" s="235" t="s">
        <v>664</v>
      </c>
      <c r="D118" s="168" t="s">
        <v>454</v>
      </c>
      <c r="E118" s="236" t="s">
        <v>541</v>
      </c>
      <c r="F118" s="236" t="s">
        <v>537</v>
      </c>
      <c r="G118" s="283"/>
      <c r="H118" s="676">
        <v>949425.40673913038</v>
      </c>
      <c r="I118" s="676">
        <v>0</v>
      </c>
      <c r="J118" s="676">
        <v>1453109.8602661896</v>
      </c>
      <c r="K118" s="676">
        <v>47496</v>
      </c>
      <c r="L118" s="676">
        <v>15356</v>
      </c>
      <c r="M118" s="676">
        <v>0</v>
      </c>
      <c r="N118" s="676">
        <v>1300.9000000000001</v>
      </c>
      <c r="O118" s="676">
        <v>0</v>
      </c>
      <c r="P118" s="676">
        <v>-1.8300000000000125</v>
      </c>
      <c r="Q118" s="676">
        <v>-3291.75</v>
      </c>
      <c r="R118" s="676">
        <v>0</v>
      </c>
      <c r="S118" s="676">
        <v>8809.3799999999992</v>
      </c>
      <c r="T118" s="676">
        <v>2472203.9670053194</v>
      </c>
    </row>
    <row r="119" spans="1:20" customFormat="1" ht="14.5">
      <c r="A119" s="235">
        <v>3410</v>
      </c>
      <c r="B119" s="235">
        <v>103478</v>
      </c>
      <c r="C119" s="235" t="s">
        <v>720</v>
      </c>
      <c r="D119" s="168" t="s">
        <v>509</v>
      </c>
      <c r="E119" s="236" t="s">
        <v>539</v>
      </c>
      <c r="F119" s="236" t="s">
        <v>537</v>
      </c>
      <c r="G119" s="283"/>
      <c r="H119" s="676">
        <v>954001.18011256098</v>
      </c>
      <c r="I119" s="676">
        <v>0</v>
      </c>
      <c r="J119" s="676">
        <v>121265.59</v>
      </c>
      <c r="K119" s="676">
        <v>45450</v>
      </c>
      <c r="L119" s="676">
        <v>55094.86</v>
      </c>
      <c r="M119" s="676">
        <v>0</v>
      </c>
      <c r="N119" s="676">
        <v>1661.4499999999998</v>
      </c>
      <c r="O119" s="676">
        <v>-2941.4775000000004</v>
      </c>
      <c r="P119" s="676">
        <v>-37.19</v>
      </c>
      <c r="Q119" s="676">
        <v>-5139.75</v>
      </c>
      <c r="R119" s="676">
        <v>-4048.92</v>
      </c>
      <c r="S119" s="676">
        <v>0</v>
      </c>
      <c r="T119" s="676">
        <v>1165305.7426125612</v>
      </c>
    </row>
    <row r="120" spans="1:20" customFormat="1" ht="14.5">
      <c r="A120" s="235">
        <v>3381</v>
      </c>
      <c r="B120" s="235">
        <v>103466</v>
      </c>
      <c r="C120" s="235" t="s">
        <v>665</v>
      </c>
      <c r="D120" s="168" t="s">
        <v>455</v>
      </c>
      <c r="E120" s="236" t="s">
        <v>539</v>
      </c>
      <c r="F120" s="236" t="s">
        <v>537</v>
      </c>
      <c r="G120" s="283"/>
      <c r="H120" s="676">
        <v>914643.01676149294</v>
      </c>
      <c r="I120" s="676">
        <v>0</v>
      </c>
      <c r="J120" s="676">
        <v>27798.560000000001</v>
      </c>
      <c r="K120" s="676">
        <v>49012</v>
      </c>
      <c r="L120" s="676">
        <v>44289</v>
      </c>
      <c r="M120" s="676">
        <v>0</v>
      </c>
      <c r="N120" s="676">
        <v>0</v>
      </c>
      <c r="O120" s="676">
        <v>-2981.2350000000006</v>
      </c>
      <c r="P120" s="676">
        <v>0</v>
      </c>
      <c r="Q120" s="676">
        <v>0</v>
      </c>
      <c r="R120" s="676">
        <v>-4048.92</v>
      </c>
      <c r="S120" s="676">
        <v>0</v>
      </c>
      <c r="T120" s="676">
        <v>1028712.421761493</v>
      </c>
    </row>
    <row r="121" spans="1:20" customFormat="1" ht="14.5">
      <c r="A121" s="235">
        <v>3335</v>
      </c>
      <c r="B121" s="235">
        <v>103434</v>
      </c>
      <c r="C121" s="235" t="s">
        <v>722</v>
      </c>
      <c r="D121" s="168" t="s">
        <v>511</v>
      </c>
      <c r="E121" s="236" t="s">
        <v>539</v>
      </c>
      <c r="F121" s="236" t="s">
        <v>537</v>
      </c>
      <c r="G121" s="283"/>
      <c r="H121" s="676">
        <v>1072116.1385185367</v>
      </c>
      <c r="I121" s="676">
        <v>0</v>
      </c>
      <c r="J121" s="676">
        <v>55883.670000000006</v>
      </c>
      <c r="K121" s="676">
        <v>98474</v>
      </c>
      <c r="L121" s="676">
        <v>33325</v>
      </c>
      <c r="M121" s="676">
        <v>0</v>
      </c>
      <c r="N121" s="676">
        <v>1174.4100000000001</v>
      </c>
      <c r="O121" s="676">
        <v>-3935.2200000000012</v>
      </c>
      <c r="P121" s="676">
        <v>-2.6299999999999955</v>
      </c>
      <c r="Q121" s="676">
        <v>-5139.75</v>
      </c>
      <c r="R121" s="676">
        <v>-3990.2400000000002</v>
      </c>
      <c r="S121" s="676">
        <v>0</v>
      </c>
      <c r="T121" s="676">
        <v>1247905.3785185367</v>
      </c>
    </row>
    <row r="122" spans="1:20" customFormat="1" ht="14.5">
      <c r="A122" s="235">
        <v>2183</v>
      </c>
      <c r="B122" s="235">
        <v>103261</v>
      </c>
      <c r="C122" s="235" t="s">
        <v>667</v>
      </c>
      <c r="D122" s="168" t="s">
        <v>457</v>
      </c>
      <c r="E122" s="236" t="s">
        <v>539</v>
      </c>
      <c r="F122" s="236" t="s">
        <v>537</v>
      </c>
      <c r="G122" s="283"/>
      <c r="H122" s="676">
        <v>1867688.0324181453</v>
      </c>
      <c r="I122" s="676">
        <v>0</v>
      </c>
      <c r="J122" s="676">
        <v>206309.03083333332</v>
      </c>
      <c r="K122" s="676">
        <v>143166</v>
      </c>
      <c r="L122" s="676">
        <v>55555.32</v>
      </c>
      <c r="M122" s="676">
        <v>0</v>
      </c>
      <c r="N122" s="676">
        <v>0</v>
      </c>
      <c r="O122" s="676">
        <v>-28045.552500000002</v>
      </c>
      <c r="P122" s="676">
        <v>0</v>
      </c>
      <c r="Q122" s="676">
        <v>-9471</v>
      </c>
      <c r="R122" s="676">
        <v>-6689.5199999999986</v>
      </c>
      <c r="S122" s="676">
        <v>8061.25</v>
      </c>
      <c r="T122" s="676">
        <v>2236573.5607514782</v>
      </c>
    </row>
    <row r="123" spans="1:20" customFormat="1" ht="14.5">
      <c r="A123" s="235">
        <v>3372</v>
      </c>
      <c r="B123" s="235">
        <v>103460</v>
      </c>
      <c r="C123" s="235" t="s">
        <v>723</v>
      </c>
      <c r="D123" s="168" t="s">
        <v>512</v>
      </c>
      <c r="E123" s="236" t="s">
        <v>539</v>
      </c>
      <c r="F123" s="236" t="s">
        <v>537</v>
      </c>
      <c r="G123" s="283"/>
      <c r="H123" s="676">
        <v>2562479.2807924626</v>
      </c>
      <c r="I123" s="676">
        <v>0</v>
      </c>
      <c r="J123" s="676">
        <v>92889.963333333319</v>
      </c>
      <c r="K123" s="676">
        <v>195992</v>
      </c>
      <c r="L123" s="676">
        <v>81406.789999999994</v>
      </c>
      <c r="M123" s="676">
        <v>0</v>
      </c>
      <c r="N123" s="676">
        <v>5525.2299999999987</v>
      </c>
      <c r="O123" s="676">
        <v>-4332.72</v>
      </c>
      <c r="P123" s="676">
        <v>-2.0699999999999932</v>
      </c>
      <c r="Q123" s="676">
        <v>0</v>
      </c>
      <c r="R123" s="676">
        <v>-10621.079999999998</v>
      </c>
      <c r="S123" s="676">
        <v>0</v>
      </c>
      <c r="T123" s="676">
        <v>2923337.3941257959</v>
      </c>
    </row>
    <row r="124" spans="1:20" customFormat="1" ht="14.5">
      <c r="A124" s="235">
        <v>3375</v>
      </c>
      <c r="B124" s="235">
        <v>103462</v>
      </c>
      <c r="C124" s="235" t="s">
        <v>600</v>
      </c>
      <c r="D124" s="168" t="s">
        <v>390</v>
      </c>
      <c r="E124" s="236" t="s">
        <v>539</v>
      </c>
      <c r="F124" s="236" t="s">
        <v>537</v>
      </c>
      <c r="G124" s="283"/>
      <c r="H124" s="676">
        <v>1759820.2588624831</v>
      </c>
      <c r="I124" s="676">
        <v>0</v>
      </c>
      <c r="J124" s="676">
        <v>84118.66333333333</v>
      </c>
      <c r="K124" s="676">
        <v>107564</v>
      </c>
      <c r="L124" s="676">
        <v>69751.64</v>
      </c>
      <c r="M124" s="676">
        <v>0</v>
      </c>
      <c r="N124" s="676">
        <v>0</v>
      </c>
      <c r="O124" s="676">
        <v>-2842.1024999999995</v>
      </c>
      <c r="P124" s="676">
        <v>0</v>
      </c>
      <c r="Q124" s="676">
        <v>-9471</v>
      </c>
      <c r="R124" s="676">
        <v>-8000.04</v>
      </c>
      <c r="S124" s="676">
        <v>0</v>
      </c>
      <c r="T124" s="676">
        <v>2000941.4196958162</v>
      </c>
    </row>
    <row r="125" spans="1:20" customFormat="1" ht="14.5">
      <c r="A125" s="235">
        <v>3331</v>
      </c>
      <c r="B125" s="235">
        <v>103433</v>
      </c>
      <c r="C125" s="235" t="s">
        <v>668</v>
      </c>
      <c r="D125" s="168" t="s">
        <v>458</v>
      </c>
      <c r="E125" s="236" t="s">
        <v>539</v>
      </c>
      <c r="F125" s="236" t="s">
        <v>537</v>
      </c>
      <c r="G125" s="283"/>
      <c r="H125" s="676">
        <v>1106525.8783471636</v>
      </c>
      <c r="I125" s="676">
        <v>0</v>
      </c>
      <c r="J125" s="676">
        <v>36690.733333333337</v>
      </c>
      <c r="K125" s="676">
        <v>58126</v>
      </c>
      <c r="L125" s="676">
        <v>47524.86</v>
      </c>
      <c r="M125" s="676">
        <v>0</v>
      </c>
      <c r="N125" s="676">
        <v>1544.1099999999997</v>
      </c>
      <c r="O125" s="676">
        <v>-6160.1699999999992</v>
      </c>
      <c r="P125" s="676">
        <v>-19.970000000000027</v>
      </c>
      <c r="Q125" s="676">
        <v>0</v>
      </c>
      <c r="R125" s="676">
        <v>-4127.16</v>
      </c>
      <c r="S125" s="676">
        <v>0</v>
      </c>
      <c r="T125" s="676">
        <v>1240104.2816804973</v>
      </c>
    </row>
    <row r="126" spans="1:20" customFormat="1" ht="14.5">
      <c r="A126" s="235">
        <v>3386</v>
      </c>
      <c r="B126" s="235">
        <v>103470</v>
      </c>
      <c r="C126" s="235" t="s">
        <v>670</v>
      </c>
      <c r="D126" s="168" t="s">
        <v>460</v>
      </c>
      <c r="E126" s="236" t="s">
        <v>539</v>
      </c>
      <c r="F126" s="236" t="s">
        <v>537</v>
      </c>
      <c r="G126" s="283"/>
      <c r="H126" s="676">
        <v>1167776.0557221144</v>
      </c>
      <c r="I126" s="676">
        <v>0</v>
      </c>
      <c r="J126" s="676">
        <v>52856.787666666663</v>
      </c>
      <c r="K126" s="676">
        <v>92414</v>
      </c>
      <c r="L126" s="676">
        <v>28144</v>
      </c>
      <c r="M126" s="676">
        <v>0</v>
      </c>
      <c r="N126" s="676">
        <v>2823.92</v>
      </c>
      <c r="O126" s="676">
        <v>-4133.97</v>
      </c>
      <c r="P126" s="676">
        <v>-1.6500000000000057</v>
      </c>
      <c r="Q126" s="676">
        <v>-5139.75</v>
      </c>
      <c r="R126" s="676">
        <v>-4146.7200000000012</v>
      </c>
      <c r="S126" s="676">
        <v>0</v>
      </c>
      <c r="T126" s="676">
        <v>1330592.673388781</v>
      </c>
    </row>
    <row r="127" spans="1:20" customFormat="1" ht="14.5">
      <c r="A127" s="235">
        <v>3363</v>
      </c>
      <c r="B127" s="235">
        <v>103455</v>
      </c>
      <c r="C127" s="235" t="s">
        <v>581</v>
      </c>
      <c r="D127" s="168" t="s">
        <v>372</v>
      </c>
      <c r="E127" s="236" t="s">
        <v>539</v>
      </c>
      <c r="F127" s="236" t="s">
        <v>537</v>
      </c>
      <c r="G127" s="283"/>
      <c r="H127" s="676">
        <v>1306547.8666817835</v>
      </c>
      <c r="I127" s="676">
        <v>0</v>
      </c>
      <c r="J127" s="676">
        <v>34906.90866666667</v>
      </c>
      <c r="K127" s="676">
        <v>74034</v>
      </c>
      <c r="L127" s="676">
        <v>55511</v>
      </c>
      <c r="M127" s="676">
        <v>0</v>
      </c>
      <c r="N127" s="676">
        <v>0</v>
      </c>
      <c r="O127" s="676">
        <v>-2305.4850000000001</v>
      </c>
      <c r="P127" s="676">
        <v>0</v>
      </c>
      <c r="Q127" s="676">
        <v>-5139.75</v>
      </c>
      <c r="R127" s="676">
        <v>-5691.9599999999991</v>
      </c>
      <c r="S127" s="676">
        <v>0</v>
      </c>
      <c r="T127" s="676">
        <v>1457862.58034845</v>
      </c>
    </row>
    <row r="128" spans="1:20" customFormat="1" ht="14.5">
      <c r="A128" s="235">
        <v>3355</v>
      </c>
      <c r="B128" s="235">
        <v>103447</v>
      </c>
      <c r="C128" s="235" t="s">
        <v>724</v>
      </c>
      <c r="D128" s="168" t="s">
        <v>513</v>
      </c>
      <c r="E128" s="236" t="s">
        <v>539</v>
      </c>
      <c r="F128" s="236" t="s">
        <v>537</v>
      </c>
      <c r="G128" s="283"/>
      <c r="H128" s="676">
        <v>1611986.4536804876</v>
      </c>
      <c r="I128" s="676">
        <v>0</v>
      </c>
      <c r="J128" s="676">
        <v>98025.003333333327</v>
      </c>
      <c r="K128" s="676">
        <v>70804</v>
      </c>
      <c r="L128" s="676">
        <v>76594.289999999994</v>
      </c>
      <c r="M128" s="676">
        <v>0</v>
      </c>
      <c r="N128" s="676">
        <v>3507.7099999999996</v>
      </c>
      <c r="O128" s="676">
        <v>-4650.7200000000012</v>
      </c>
      <c r="P128" s="676">
        <v>-31.490000000000009</v>
      </c>
      <c r="Q128" s="676">
        <v>-9471</v>
      </c>
      <c r="R128" s="676">
        <v>-7628.4000000000015</v>
      </c>
      <c r="S128" s="676">
        <v>0</v>
      </c>
      <c r="T128" s="676">
        <v>1839135.8470138211</v>
      </c>
    </row>
    <row r="129" spans="1:20" customFormat="1" ht="14.5">
      <c r="A129" s="235">
        <v>3367</v>
      </c>
      <c r="B129" s="235">
        <v>103458</v>
      </c>
      <c r="C129" s="235" t="s">
        <v>725</v>
      </c>
      <c r="D129" s="168" t="s">
        <v>514</v>
      </c>
      <c r="E129" s="236" t="s">
        <v>539</v>
      </c>
      <c r="F129" s="236" t="s">
        <v>537</v>
      </c>
      <c r="G129" s="283"/>
      <c r="H129" s="676">
        <v>1052491.4375902503</v>
      </c>
      <c r="I129" s="676">
        <v>0</v>
      </c>
      <c r="J129" s="676">
        <v>29764.456666666669</v>
      </c>
      <c r="K129" s="676">
        <v>74792</v>
      </c>
      <c r="L129" s="676">
        <v>38333.93</v>
      </c>
      <c r="M129" s="676">
        <v>0</v>
      </c>
      <c r="N129" s="676">
        <v>1676</v>
      </c>
      <c r="O129" s="676">
        <v>-2356.3649999999998</v>
      </c>
      <c r="P129" s="676">
        <v>-20.52</v>
      </c>
      <c r="Q129" s="676">
        <v>-5139.75</v>
      </c>
      <c r="R129" s="676">
        <v>-4048.92</v>
      </c>
      <c r="S129" s="676">
        <v>0</v>
      </c>
      <c r="T129" s="676">
        <v>1185492.2692569171</v>
      </c>
    </row>
    <row r="130" spans="1:20" customFormat="1" ht="14.5">
      <c r="A130" s="235">
        <v>3010</v>
      </c>
      <c r="B130" s="235">
        <v>103401</v>
      </c>
      <c r="C130" s="235" t="s">
        <v>672</v>
      </c>
      <c r="D130" s="168" t="s">
        <v>462</v>
      </c>
      <c r="E130" s="236" t="s">
        <v>539</v>
      </c>
      <c r="F130" s="236" t="s">
        <v>537</v>
      </c>
      <c r="G130" s="283"/>
      <c r="H130" s="676">
        <v>2011993.7729761333</v>
      </c>
      <c r="I130" s="676">
        <v>0</v>
      </c>
      <c r="J130" s="676">
        <v>119939.33666666664</v>
      </c>
      <c r="K130" s="676">
        <v>140870</v>
      </c>
      <c r="L130" s="676">
        <v>66811.929999999993</v>
      </c>
      <c r="M130" s="676">
        <v>0</v>
      </c>
      <c r="N130" s="676">
        <v>5408.25</v>
      </c>
      <c r="O130" s="676">
        <v>-11525.295</v>
      </c>
      <c r="P130" s="676">
        <v>-3.01</v>
      </c>
      <c r="Q130" s="676">
        <v>-9471</v>
      </c>
      <c r="R130" s="676">
        <v>-8215.1999999999989</v>
      </c>
      <c r="S130" s="676">
        <v>0</v>
      </c>
      <c r="T130" s="676">
        <v>2315808.7846428002</v>
      </c>
    </row>
    <row r="131" spans="1:20" customFormat="1" ht="14.5">
      <c r="A131" s="235">
        <v>4625</v>
      </c>
      <c r="B131" s="235">
        <v>103534</v>
      </c>
      <c r="C131" s="235" t="s">
        <v>673</v>
      </c>
      <c r="D131" s="168" t="s">
        <v>463</v>
      </c>
      <c r="E131" s="236" t="s">
        <v>543</v>
      </c>
      <c r="F131" s="236" t="s">
        <v>537</v>
      </c>
      <c r="G131" s="283"/>
      <c r="H131" s="676">
        <v>4028397.5674162293</v>
      </c>
      <c r="I131" s="676">
        <v>0</v>
      </c>
      <c r="J131" s="676">
        <v>57313.32666666666</v>
      </c>
      <c r="K131" s="676">
        <v>196186</v>
      </c>
      <c r="L131" s="676">
        <v>1999.5</v>
      </c>
      <c r="M131" s="676">
        <v>0</v>
      </c>
      <c r="N131" s="676">
        <v>3166.1100000000006</v>
      </c>
      <c r="O131" s="676">
        <v>-10414.432499999999</v>
      </c>
      <c r="P131" s="676">
        <v>-45.579999999999984</v>
      </c>
      <c r="Q131" s="676">
        <v>0</v>
      </c>
      <c r="R131" s="676">
        <v>-9451.0349999999999</v>
      </c>
      <c r="S131" s="676">
        <v>0</v>
      </c>
      <c r="T131" s="676">
        <v>4267151.4565828964</v>
      </c>
    </row>
    <row r="132" spans="1:20" customFormat="1" ht="14.5">
      <c r="A132" s="235">
        <v>3377</v>
      </c>
      <c r="B132" s="235">
        <v>103463</v>
      </c>
      <c r="C132" s="235" t="s">
        <v>582</v>
      </c>
      <c r="D132" s="168" t="s">
        <v>373</v>
      </c>
      <c r="E132" s="236" t="s">
        <v>539</v>
      </c>
      <c r="F132" s="236" t="s">
        <v>537</v>
      </c>
      <c r="G132" s="283"/>
      <c r="H132" s="676">
        <v>1062525.5052424604</v>
      </c>
      <c r="I132" s="676">
        <v>0</v>
      </c>
      <c r="J132" s="676">
        <v>37738.893333333333</v>
      </c>
      <c r="K132" s="676">
        <v>96002</v>
      </c>
      <c r="L132" s="676">
        <v>28457.64</v>
      </c>
      <c r="M132" s="676">
        <v>0</v>
      </c>
      <c r="N132" s="676">
        <v>0</v>
      </c>
      <c r="O132" s="676">
        <v>-3060.7275000000004</v>
      </c>
      <c r="P132" s="676">
        <v>0</v>
      </c>
      <c r="Q132" s="676">
        <v>0</v>
      </c>
      <c r="R132" s="676">
        <v>-3853.3199999999993</v>
      </c>
      <c r="S132" s="676">
        <v>0</v>
      </c>
      <c r="T132" s="676">
        <v>1217809.9910757935</v>
      </c>
    </row>
    <row r="133" spans="1:20" customFormat="1" ht="14.5">
      <c r="A133" s="235">
        <v>3371</v>
      </c>
      <c r="B133" s="235">
        <v>103459</v>
      </c>
      <c r="C133" s="235" t="s">
        <v>583</v>
      </c>
      <c r="D133" s="168" t="s">
        <v>374</v>
      </c>
      <c r="E133" s="236" t="s">
        <v>539</v>
      </c>
      <c r="F133" s="236" t="s">
        <v>537</v>
      </c>
      <c r="G133" s="283"/>
      <c r="H133" s="676">
        <v>1160547.6262071698</v>
      </c>
      <c r="I133" s="676">
        <v>0</v>
      </c>
      <c r="J133" s="676">
        <v>55696.46666666666</v>
      </c>
      <c r="K133" s="676">
        <v>49944</v>
      </c>
      <c r="L133" s="676">
        <v>105138.93</v>
      </c>
      <c r="M133" s="676">
        <v>0</v>
      </c>
      <c r="N133" s="676">
        <v>0</v>
      </c>
      <c r="O133" s="676">
        <v>-14071.41</v>
      </c>
      <c r="P133" s="676">
        <v>0</v>
      </c>
      <c r="Q133" s="676">
        <v>-7236</v>
      </c>
      <c r="R133" s="676">
        <v>-5242.079999999999</v>
      </c>
      <c r="S133" s="676">
        <v>0</v>
      </c>
      <c r="T133" s="676">
        <v>1344777.5328738363</v>
      </c>
    </row>
    <row r="134" spans="1:20" customFormat="1" ht="14.5">
      <c r="A134" s="235">
        <v>3307</v>
      </c>
      <c r="B134" s="235">
        <v>103416</v>
      </c>
      <c r="C134" s="235" t="s">
        <v>674</v>
      </c>
      <c r="D134" s="168" t="s">
        <v>464</v>
      </c>
      <c r="E134" s="236" t="s">
        <v>539</v>
      </c>
      <c r="F134" s="236" t="s">
        <v>537</v>
      </c>
      <c r="G134" s="283"/>
      <c r="H134" s="676">
        <v>1466385.2693624757</v>
      </c>
      <c r="I134" s="676">
        <v>0</v>
      </c>
      <c r="J134" s="676">
        <v>61040.666666666664</v>
      </c>
      <c r="K134" s="676">
        <v>73726</v>
      </c>
      <c r="L134" s="676">
        <v>18788.93</v>
      </c>
      <c r="M134" s="676">
        <v>0</v>
      </c>
      <c r="N134" s="676">
        <v>3194.03</v>
      </c>
      <c r="O134" s="676">
        <v>-3299.2349999999992</v>
      </c>
      <c r="P134" s="676">
        <v>-10.350000000000023</v>
      </c>
      <c r="Q134" s="676">
        <v>-9666</v>
      </c>
      <c r="R134" s="676">
        <v>-7002.48</v>
      </c>
      <c r="S134" s="676">
        <v>0</v>
      </c>
      <c r="T134" s="676">
        <v>1603156.8310291423</v>
      </c>
    </row>
    <row r="135" spans="1:20" customFormat="1" ht="14.5">
      <c r="A135" s="235">
        <v>3361</v>
      </c>
      <c r="B135" s="235">
        <v>103453</v>
      </c>
      <c r="C135" s="235" t="s">
        <v>726</v>
      </c>
      <c r="D135" s="168" t="s">
        <v>515</v>
      </c>
      <c r="E135" s="236" t="s">
        <v>539</v>
      </c>
      <c r="F135" s="236" t="s">
        <v>537</v>
      </c>
      <c r="G135" s="283"/>
      <c r="H135" s="676">
        <v>1557277.667559491</v>
      </c>
      <c r="I135" s="676">
        <v>0</v>
      </c>
      <c r="J135" s="676">
        <v>24604</v>
      </c>
      <c r="K135" s="676">
        <v>121956</v>
      </c>
      <c r="L135" s="676">
        <v>52120.86</v>
      </c>
      <c r="M135" s="676">
        <v>0</v>
      </c>
      <c r="N135" s="676">
        <v>3221.35</v>
      </c>
      <c r="O135" s="676">
        <v>-5207.22</v>
      </c>
      <c r="P135" s="676">
        <v>-4.1500000000000057</v>
      </c>
      <c r="Q135" s="676">
        <v>-9471</v>
      </c>
      <c r="R135" s="676">
        <v>-6435.24</v>
      </c>
      <c r="S135" s="676">
        <v>0</v>
      </c>
      <c r="T135" s="676">
        <v>1738062.2675594913</v>
      </c>
    </row>
    <row r="136" spans="1:20" customFormat="1" ht="14.5">
      <c r="A136" s="235">
        <v>3344</v>
      </c>
      <c r="B136" s="235">
        <v>103438</v>
      </c>
      <c r="C136" s="235" t="s">
        <v>727</v>
      </c>
      <c r="D136" s="168" t="s">
        <v>516</v>
      </c>
      <c r="E136" s="236" t="s">
        <v>539</v>
      </c>
      <c r="F136" s="236" t="s">
        <v>537</v>
      </c>
      <c r="G136" s="283"/>
      <c r="H136" s="676">
        <v>1674977.6997220111</v>
      </c>
      <c r="I136" s="676">
        <v>0</v>
      </c>
      <c r="J136" s="676">
        <v>49341</v>
      </c>
      <c r="K136" s="676">
        <v>61856</v>
      </c>
      <c r="L136" s="676">
        <v>94178.64</v>
      </c>
      <c r="M136" s="676">
        <v>0</v>
      </c>
      <c r="N136" s="676">
        <v>2342.13</v>
      </c>
      <c r="O136" s="676">
        <v>-2285.61</v>
      </c>
      <c r="P136" s="676">
        <v>-13.91</v>
      </c>
      <c r="Q136" s="676">
        <v>-9471</v>
      </c>
      <c r="R136" s="676">
        <v>-8215.1999999999989</v>
      </c>
      <c r="S136" s="676">
        <v>0</v>
      </c>
      <c r="T136" s="676">
        <v>1862709.7497220109</v>
      </c>
    </row>
    <row r="137" spans="1:20" customFormat="1" ht="14.5">
      <c r="A137" s="235">
        <v>3025</v>
      </c>
      <c r="B137" s="235">
        <v>103410</v>
      </c>
      <c r="C137" s="235" t="s">
        <v>676</v>
      </c>
      <c r="D137" s="168" t="s">
        <v>466</v>
      </c>
      <c r="E137" s="236" t="s">
        <v>539</v>
      </c>
      <c r="F137" s="236" t="s">
        <v>537</v>
      </c>
      <c r="G137" s="283"/>
      <c r="H137" s="676">
        <v>1722626.1224844879</v>
      </c>
      <c r="I137" s="676">
        <v>0</v>
      </c>
      <c r="J137" s="676">
        <v>173453.27766666666</v>
      </c>
      <c r="K137" s="676">
        <v>80984</v>
      </c>
      <c r="L137" s="676">
        <v>85869.86</v>
      </c>
      <c r="M137" s="676">
        <v>0</v>
      </c>
      <c r="N137" s="676">
        <v>2117.14</v>
      </c>
      <c r="O137" s="676">
        <v>-3844.59</v>
      </c>
      <c r="P137" s="676">
        <v>-15.579999999999984</v>
      </c>
      <c r="Q137" s="676">
        <v>-9471</v>
      </c>
      <c r="R137" s="676">
        <v>-8039.1599999999989</v>
      </c>
      <c r="S137" s="676">
        <v>0</v>
      </c>
      <c r="T137" s="676">
        <v>2043680.0701511544</v>
      </c>
    </row>
    <row r="138" spans="1:20" customFormat="1" ht="14.5">
      <c r="A138" s="235">
        <v>3016</v>
      </c>
      <c r="B138" s="235">
        <v>103404</v>
      </c>
      <c r="C138" s="235" t="s">
        <v>584</v>
      </c>
      <c r="D138" s="168" t="s">
        <v>375</v>
      </c>
      <c r="E138" s="236" t="s">
        <v>539</v>
      </c>
      <c r="F138" s="236" t="s">
        <v>537</v>
      </c>
      <c r="G138" s="283"/>
      <c r="H138" s="676">
        <v>1120654.8519071431</v>
      </c>
      <c r="I138" s="676">
        <v>0</v>
      </c>
      <c r="J138" s="676">
        <v>92359.003333333327</v>
      </c>
      <c r="K138" s="676">
        <v>102262</v>
      </c>
      <c r="L138" s="676">
        <v>27735</v>
      </c>
      <c r="M138" s="676">
        <v>0</v>
      </c>
      <c r="N138" s="676">
        <v>0</v>
      </c>
      <c r="O138" s="676">
        <v>-11718.997500000001</v>
      </c>
      <c r="P138" s="676">
        <v>0</v>
      </c>
      <c r="Q138" s="676">
        <v>-5139.75</v>
      </c>
      <c r="R138" s="676">
        <v>-3990.2400000000002</v>
      </c>
      <c r="S138" s="676">
        <v>6362.5</v>
      </c>
      <c r="T138" s="676">
        <v>1328524.3677404765</v>
      </c>
    </row>
    <row r="139" spans="1:20" customFormat="1" ht="14.5">
      <c r="A139" s="235">
        <v>4606</v>
      </c>
      <c r="B139" s="235">
        <v>103531</v>
      </c>
      <c r="C139" s="235" t="s">
        <v>585</v>
      </c>
      <c r="D139" s="168" t="s">
        <v>376</v>
      </c>
      <c r="E139" s="236" t="s">
        <v>543</v>
      </c>
      <c r="F139" s="236" t="s">
        <v>537</v>
      </c>
      <c r="G139" s="283"/>
      <c r="H139" s="676">
        <v>4733319.7405453725</v>
      </c>
      <c r="I139" s="676">
        <v>985312.4733333335</v>
      </c>
      <c r="J139" s="676">
        <v>44964</v>
      </c>
      <c r="K139" s="676">
        <v>142184</v>
      </c>
      <c r="L139" s="676">
        <v>6318.52</v>
      </c>
      <c r="M139" s="676">
        <v>0</v>
      </c>
      <c r="N139" s="676">
        <v>0</v>
      </c>
      <c r="O139" s="676">
        <v>-11209.432500000001</v>
      </c>
      <c r="P139" s="676">
        <v>0</v>
      </c>
      <c r="Q139" s="676">
        <v>-24312.75</v>
      </c>
      <c r="R139" s="676">
        <v>-12772.485000000001</v>
      </c>
      <c r="S139" s="676">
        <v>0</v>
      </c>
      <c r="T139" s="676">
        <v>5863804.0663787052</v>
      </c>
    </row>
    <row r="140" spans="1:20" customFormat="1" ht="14.5">
      <c r="A140" s="235">
        <v>3428</v>
      </c>
      <c r="B140" s="235">
        <v>134476</v>
      </c>
      <c r="C140" s="235" t="s">
        <v>586</v>
      </c>
      <c r="D140" s="168" t="s">
        <v>377</v>
      </c>
      <c r="E140" s="236" t="s">
        <v>539</v>
      </c>
      <c r="F140" s="236" t="s">
        <v>537</v>
      </c>
      <c r="G140" s="283"/>
      <c r="H140" s="676">
        <v>1803398.8846241436</v>
      </c>
      <c r="I140" s="676">
        <v>0</v>
      </c>
      <c r="J140" s="676">
        <v>122406.99333333332</v>
      </c>
      <c r="K140" s="676">
        <v>65102</v>
      </c>
      <c r="L140" s="676">
        <v>81892</v>
      </c>
      <c r="M140" s="676">
        <v>0</v>
      </c>
      <c r="N140" s="676">
        <v>0</v>
      </c>
      <c r="O140" s="676">
        <v>-33588.547500000001</v>
      </c>
      <c r="P140" s="676">
        <v>0</v>
      </c>
      <c r="Q140" s="676">
        <v>-9471</v>
      </c>
      <c r="R140" s="676">
        <v>-8058.7199999999984</v>
      </c>
      <c r="S140" s="676">
        <v>0</v>
      </c>
      <c r="T140" s="676">
        <v>2021681.6104574769</v>
      </c>
    </row>
    <row r="141" spans="1:20" customFormat="1" ht="14.5">
      <c r="A141" s="235">
        <v>3019</v>
      </c>
      <c r="B141" s="235">
        <v>103406</v>
      </c>
      <c r="C141" s="235" t="s">
        <v>728</v>
      </c>
      <c r="D141" s="168" t="s">
        <v>517</v>
      </c>
      <c r="E141" s="236" t="s">
        <v>539</v>
      </c>
      <c r="F141" s="236" t="s">
        <v>537</v>
      </c>
      <c r="G141" s="283"/>
      <c r="H141" s="676">
        <v>1964017.1149481132</v>
      </c>
      <c r="I141" s="676">
        <v>0</v>
      </c>
      <c r="J141" s="676">
        <v>164914.76666666666</v>
      </c>
      <c r="K141" s="676">
        <v>162662</v>
      </c>
      <c r="L141" s="676">
        <v>56862</v>
      </c>
      <c r="M141" s="676">
        <v>0</v>
      </c>
      <c r="N141" s="676">
        <v>5488.34</v>
      </c>
      <c r="O141" s="676">
        <v>-20868.622500000001</v>
      </c>
      <c r="P141" s="676">
        <v>-2.1800000000000068</v>
      </c>
      <c r="Q141" s="676">
        <v>-9471</v>
      </c>
      <c r="R141" s="676">
        <v>-7960.9200000000019</v>
      </c>
      <c r="S141" s="676">
        <v>8612.5</v>
      </c>
      <c r="T141" s="676">
        <v>2324253.9991147798</v>
      </c>
    </row>
    <row r="142" spans="1:20" customFormat="1" ht="14.5">
      <c r="A142" s="235">
        <v>2178</v>
      </c>
      <c r="B142" s="235">
        <v>103257</v>
      </c>
      <c r="C142" s="235" t="s">
        <v>729</v>
      </c>
      <c r="D142" s="168" t="s">
        <v>518</v>
      </c>
      <c r="E142" s="236" t="s">
        <v>539</v>
      </c>
      <c r="F142" s="236" t="s">
        <v>537</v>
      </c>
      <c r="G142" s="283"/>
      <c r="H142" s="676">
        <v>1090862.6374636365</v>
      </c>
      <c r="I142" s="676">
        <v>0</v>
      </c>
      <c r="J142" s="676">
        <v>5537.333333333333</v>
      </c>
      <c r="K142" s="676">
        <v>82324</v>
      </c>
      <c r="L142" s="676">
        <v>36016</v>
      </c>
      <c r="M142" s="676">
        <v>0</v>
      </c>
      <c r="N142" s="676">
        <v>1265.4000000000001</v>
      </c>
      <c r="O142" s="676">
        <v>-12300.105</v>
      </c>
      <c r="P142" s="676">
        <v>-2</v>
      </c>
      <c r="Q142" s="676">
        <v>-5139.75</v>
      </c>
      <c r="R142" s="676">
        <v>-4029.3599999999992</v>
      </c>
      <c r="S142" s="676">
        <v>6518.2</v>
      </c>
      <c r="T142" s="676">
        <v>1201052.3557969695</v>
      </c>
    </row>
    <row r="143" spans="1:20" customFormat="1" ht="14.5">
      <c r="A143" s="235">
        <v>2184</v>
      </c>
      <c r="B143" s="235">
        <v>103262</v>
      </c>
      <c r="C143" s="235" t="s">
        <v>740</v>
      </c>
      <c r="D143" s="168" t="s">
        <v>529</v>
      </c>
      <c r="E143" s="236" t="s">
        <v>539</v>
      </c>
      <c r="F143" s="236" t="s">
        <v>537</v>
      </c>
      <c r="G143" s="283"/>
      <c r="H143" s="676">
        <v>1869968.7626740991</v>
      </c>
      <c r="I143" s="676">
        <v>0</v>
      </c>
      <c r="J143" s="676">
        <v>127866.05666666667</v>
      </c>
      <c r="K143" s="676">
        <v>139536</v>
      </c>
      <c r="L143" s="676">
        <v>61133.29</v>
      </c>
      <c r="M143" s="676">
        <v>0</v>
      </c>
      <c r="N143" s="676">
        <v>5628.36</v>
      </c>
      <c r="O143" s="676">
        <v>-23054.857500000002</v>
      </c>
      <c r="P143" s="676">
        <v>-48.129999999999995</v>
      </c>
      <c r="Q143" s="676">
        <v>-9471</v>
      </c>
      <c r="R143" s="676">
        <v>-8097.84</v>
      </c>
      <c r="S143" s="676">
        <v>8839.75</v>
      </c>
      <c r="T143" s="676">
        <v>2172300.3918407657</v>
      </c>
    </row>
    <row r="144" spans="1:20" customFormat="1" ht="14.5">
      <c r="A144" s="235">
        <v>2190</v>
      </c>
      <c r="B144" s="235">
        <v>103266</v>
      </c>
      <c r="C144" s="235" t="s">
        <v>730</v>
      </c>
      <c r="D144" s="168" t="s">
        <v>519</v>
      </c>
      <c r="E144" s="236" t="s">
        <v>539</v>
      </c>
      <c r="F144" s="236" t="s">
        <v>537</v>
      </c>
      <c r="G144" s="283"/>
      <c r="H144" s="676">
        <v>808389.31009605271</v>
      </c>
      <c r="I144" s="676">
        <v>0</v>
      </c>
      <c r="J144" s="676">
        <v>32481.793333333335</v>
      </c>
      <c r="K144" s="676">
        <v>75350</v>
      </c>
      <c r="L144" s="676">
        <v>32292</v>
      </c>
      <c r="M144" s="676">
        <v>0</v>
      </c>
      <c r="N144" s="676">
        <v>790.0200000000001</v>
      </c>
      <c r="O144" s="676">
        <v>-16271.002499999997</v>
      </c>
      <c r="P144" s="676">
        <v>-8.7799999999999994</v>
      </c>
      <c r="Q144" s="676">
        <v>-5139.75</v>
      </c>
      <c r="R144" s="676">
        <v>-3051.3599999999997</v>
      </c>
      <c r="S144" s="676">
        <v>5923.75</v>
      </c>
      <c r="T144" s="676">
        <v>930755.9809293861</v>
      </c>
    </row>
    <row r="145" spans="1:20" customFormat="1" ht="14.5">
      <c r="A145" s="235">
        <v>7035</v>
      </c>
      <c r="B145" s="235">
        <v>103615</v>
      </c>
      <c r="C145" s="235" t="s">
        <v>731</v>
      </c>
      <c r="D145" s="168" t="s">
        <v>520</v>
      </c>
      <c r="E145" s="236" t="s">
        <v>541</v>
      </c>
      <c r="F145" s="236" t="s">
        <v>537</v>
      </c>
      <c r="G145" s="283"/>
      <c r="H145" s="676">
        <v>1237396.2521739129</v>
      </c>
      <c r="I145" s="676">
        <v>0</v>
      </c>
      <c r="J145" s="676">
        <v>1687201.3473164681</v>
      </c>
      <c r="K145" s="676">
        <v>66816</v>
      </c>
      <c r="L145" s="676">
        <v>20499.09</v>
      </c>
      <c r="M145" s="676">
        <v>0</v>
      </c>
      <c r="N145" s="676">
        <v>0</v>
      </c>
      <c r="O145" s="676">
        <v>0</v>
      </c>
      <c r="P145" s="676">
        <v>0</v>
      </c>
      <c r="Q145" s="676">
        <v>-5139.75</v>
      </c>
      <c r="R145" s="676">
        <v>0</v>
      </c>
      <c r="S145" s="676">
        <v>11644.38</v>
      </c>
      <c r="T145" s="676">
        <v>3018417.3194903806</v>
      </c>
    </row>
    <row r="146" spans="1:20" customFormat="1" ht="14.5">
      <c r="A146" s="235">
        <v>3323</v>
      </c>
      <c r="B146" s="235">
        <v>103427</v>
      </c>
      <c r="C146" s="235" t="s">
        <v>587</v>
      </c>
      <c r="D146" s="168" t="s">
        <v>378</v>
      </c>
      <c r="E146" s="236" t="s">
        <v>539</v>
      </c>
      <c r="F146" s="236" t="s">
        <v>1000</v>
      </c>
      <c r="G146" s="283"/>
      <c r="H146" s="676">
        <v>515335.39783901186</v>
      </c>
      <c r="I146" s="676">
        <v>0</v>
      </c>
      <c r="J146" s="676">
        <v>33020.35</v>
      </c>
      <c r="K146" s="676">
        <v>53802.080000000002</v>
      </c>
      <c r="L146" s="676">
        <v>23049</v>
      </c>
      <c r="M146" s="676">
        <v>0</v>
      </c>
      <c r="N146" s="676">
        <v>0</v>
      </c>
      <c r="O146" s="676">
        <v>-3285.9800000000005</v>
      </c>
      <c r="P146" s="676">
        <v>0</v>
      </c>
      <c r="Q146" s="676">
        <v>-1371.5625</v>
      </c>
      <c r="R146" s="676">
        <v>-4668.32</v>
      </c>
      <c r="S146" s="676">
        <v>0</v>
      </c>
      <c r="T146" s="676">
        <v>615880.96533901186</v>
      </c>
    </row>
    <row r="147" spans="1:20" customFormat="1" ht="14.5">
      <c r="A147" s="235">
        <v>7045</v>
      </c>
      <c r="B147" s="235">
        <v>103622</v>
      </c>
      <c r="C147" s="235" t="s">
        <v>732</v>
      </c>
      <c r="D147" s="168" t="s">
        <v>521</v>
      </c>
      <c r="E147" s="236" t="s">
        <v>541</v>
      </c>
      <c r="F147" s="236" t="s">
        <v>537</v>
      </c>
      <c r="G147" s="283"/>
      <c r="H147" s="676">
        <v>2227313.2439130433</v>
      </c>
      <c r="I147" s="676">
        <v>0</v>
      </c>
      <c r="J147" s="676">
        <v>3326682.2548385127</v>
      </c>
      <c r="K147" s="676">
        <v>95092</v>
      </c>
      <c r="L147" s="676">
        <v>33957</v>
      </c>
      <c r="M147" s="676">
        <v>0</v>
      </c>
      <c r="N147" s="676">
        <v>12558.4</v>
      </c>
      <c r="O147" s="676">
        <v>0</v>
      </c>
      <c r="P147" s="676">
        <v>-9.6000000000000227</v>
      </c>
      <c r="Q147" s="676">
        <v>-5139.75</v>
      </c>
      <c r="R147" s="676">
        <v>0</v>
      </c>
      <c r="S147" s="676">
        <v>18175</v>
      </c>
      <c r="T147" s="676">
        <v>5708628.5487515572</v>
      </c>
    </row>
    <row r="148" spans="1:20" customFormat="1" ht="14.5">
      <c r="A148" s="235">
        <v>2192</v>
      </c>
      <c r="B148" s="235">
        <v>103268</v>
      </c>
      <c r="C148" s="235" t="s">
        <v>682</v>
      </c>
      <c r="D148" s="168" t="s">
        <v>472</v>
      </c>
      <c r="E148" s="236" t="s">
        <v>539</v>
      </c>
      <c r="F148" s="236" t="s">
        <v>537</v>
      </c>
      <c r="G148" s="283"/>
      <c r="H148" s="676">
        <v>2194932.9019285645</v>
      </c>
      <c r="I148" s="676">
        <v>0</v>
      </c>
      <c r="J148" s="676">
        <v>45825.266666666663</v>
      </c>
      <c r="K148" s="676">
        <v>193920</v>
      </c>
      <c r="L148" s="676">
        <v>19052</v>
      </c>
      <c r="M148" s="676">
        <v>0</v>
      </c>
      <c r="N148" s="676">
        <v>2839.59</v>
      </c>
      <c r="O148" s="676">
        <v>-25241.1</v>
      </c>
      <c r="P148" s="676">
        <v>-17.43</v>
      </c>
      <c r="Q148" s="676">
        <v>-12566.4</v>
      </c>
      <c r="R148" s="676">
        <v>-9388.8000000000011</v>
      </c>
      <c r="S148" s="676">
        <v>9400</v>
      </c>
      <c r="T148" s="676">
        <v>2418756.028595231</v>
      </c>
    </row>
    <row r="149" spans="1:20" customFormat="1" ht="14.5">
      <c r="A149" s="235">
        <v>7014</v>
      </c>
      <c r="B149" s="235">
        <v>103605</v>
      </c>
      <c r="C149" s="235" t="s">
        <v>588</v>
      </c>
      <c r="D149" s="168" t="s">
        <v>379</v>
      </c>
      <c r="E149" s="236" t="s">
        <v>541</v>
      </c>
      <c r="F149" s="236" t="s">
        <v>537</v>
      </c>
      <c r="G149" s="283"/>
      <c r="H149" s="676">
        <v>2393306.0065217391</v>
      </c>
      <c r="I149" s="676">
        <v>0</v>
      </c>
      <c r="J149" s="676">
        <v>4526372.3539408129</v>
      </c>
      <c r="K149" s="676">
        <v>91092</v>
      </c>
      <c r="L149" s="676">
        <v>30231.64</v>
      </c>
      <c r="M149" s="676">
        <v>0</v>
      </c>
      <c r="N149" s="676">
        <v>0</v>
      </c>
      <c r="O149" s="676">
        <v>0</v>
      </c>
      <c r="P149" s="676">
        <v>0</v>
      </c>
      <c r="Q149" s="676">
        <v>-7209</v>
      </c>
      <c r="R149" s="676">
        <v>0</v>
      </c>
      <c r="S149" s="676">
        <v>18124.38</v>
      </c>
      <c r="T149" s="676">
        <v>7051917.3804625515</v>
      </c>
    </row>
    <row r="150" spans="1:20" customFormat="1" ht="14.5">
      <c r="A150" s="235">
        <v>7009</v>
      </c>
      <c r="B150" s="235">
        <v>103601</v>
      </c>
      <c r="C150" s="235" t="s">
        <v>589</v>
      </c>
      <c r="D150" s="168" t="s">
        <v>380</v>
      </c>
      <c r="E150" s="236" t="s">
        <v>541</v>
      </c>
      <c r="F150" s="236" t="s">
        <v>537</v>
      </c>
      <c r="G150" s="283"/>
      <c r="H150" s="676">
        <v>1880842.2913043478</v>
      </c>
      <c r="I150" s="676">
        <v>0</v>
      </c>
      <c r="J150" s="676">
        <v>3514553.0744384853</v>
      </c>
      <c r="K150" s="676">
        <v>63890</v>
      </c>
      <c r="L150" s="676">
        <v>22618.29</v>
      </c>
      <c r="M150" s="676">
        <v>0</v>
      </c>
      <c r="N150" s="676">
        <v>0</v>
      </c>
      <c r="O150" s="676">
        <v>0</v>
      </c>
      <c r="P150" s="676">
        <v>0</v>
      </c>
      <c r="Q150" s="676">
        <v>-6237</v>
      </c>
      <c r="R150" s="676">
        <v>0</v>
      </c>
      <c r="S150" s="676">
        <v>15122.31</v>
      </c>
      <c r="T150" s="676">
        <v>5490788.965742833</v>
      </c>
    </row>
    <row r="151" spans="1:20" customFormat="1" ht="14.5">
      <c r="A151" s="235">
        <v>5203</v>
      </c>
      <c r="B151" s="235">
        <v>103544</v>
      </c>
      <c r="C151" s="235" t="s">
        <v>590</v>
      </c>
      <c r="D151" s="168" t="s">
        <v>381</v>
      </c>
      <c r="E151" s="236" t="s">
        <v>539</v>
      </c>
      <c r="F151" s="236" t="s">
        <v>537</v>
      </c>
      <c r="G151" s="283"/>
      <c r="H151" s="676">
        <v>1234079.6053739607</v>
      </c>
      <c r="I151" s="676">
        <v>0</v>
      </c>
      <c r="J151" s="676">
        <v>59615.016666666663</v>
      </c>
      <c r="K151" s="676">
        <v>13434</v>
      </c>
      <c r="L151" s="676">
        <v>117935</v>
      </c>
      <c r="M151" s="676">
        <v>0</v>
      </c>
      <c r="N151" s="676">
        <v>0</v>
      </c>
      <c r="O151" s="676">
        <v>-4703.3774999999996</v>
      </c>
      <c r="P151" s="676">
        <v>0</v>
      </c>
      <c r="Q151" s="676">
        <v>-5139.75</v>
      </c>
      <c r="R151" s="676">
        <v>-5163.8400000000011</v>
      </c>
      <c r="S151" s="676">
        <v>7685.5</v>
      </c>
      <c r="T151" s="676">
        <v>1417742.1545406273</v>
      </c>
    </row>
    <row r="152" spans="1:20" customFormat="1" ht="14.5">
      <c r="A152" s="235">
        <v>5202</v>
      </c>
      <c r="B152" s="235">
        <v>103543</v>
      </c>
      <c r="C152" s="235" t="s">
        <v>591</v>
      </c>
      <c r="D152" s="168" t="s">
        <v>382</v>
      </c>
      <c r="E152" s="236" t="s">
        <v>539</v>
      </c>
      <c r="F152" s="236" t="s">
        <v>537</v>
      </c>
      <c r="G152" s="283"/>
      <c r="H152" s="676">
        <v>1392880.1025000003</v>
      </c>
      <c r="I152" s="676">
        <v>0</v>
      </c>
      <c r="J152" s="676">
        <v>72606.32666666666</v>
      </c>
      <c r="K152" s="676">
        <v>46564</v>
      </c>
      <c r="L152" s="676">
        <v>18804.93</v>
      </c>
      <c r="M152" s="676">
        <v>0</v>
      </c>
      <c r="N152" s="676">
        <v>0</v>
      </c>
      <c r="O152" s="676">
        <v>-3160.1025</v>
      </c>
      <c r="P152" s="676">
        <v>0</v>
      </c>
      <c r="Q152" s="676">
        <v>0</v>
      </c>
      <c r="R152" s="676">
        <v>-7041.5999999999985</v>
      </c>
      <c r="S152" s="676">
        <v>8027.5</v>
      </c>
      <c r="T152" s="676">
        <v>1528681.1566666667</v>
      </c>
    </row>
    <row r="153" spans="1:20" customFormat="1" ht="14.5">
      <c r="A153" s="235">
        <v>2108</v>
      </c>
      <c r="B153" s="235">
        <v>103217</v>
      </c>
      <c r="C153" s="235" t="s">
        <v>683</v>
      </c>
      <c r="D153" s="168" t="s">
        <v>473</v>
      </c>
      <c r="E153" s="236" t="s">
        <v>539</v>
      </c>
      <c r="F153" s="236" t="s">
        <v>537</v>
      </c>
      <c r="G153" s="283"/>
      <c r="H153" s="676">
        <v>3939095.4280096674</v>
      </c>
      <c r="I153" s="676">
        <v>0</v>
      </c>
      <c r="J153" s="676">
        <v>319288.28083333327</v>
      </c>
      <c r="K153" s="676">
        <v>271184</v>
      </c>
      <c r="L153" s="676">
        <v>144937.57</v>
      </c>
      <c r="M153" s="676">
        <v>0</v>
      </c>
      <c r="N153" s="676">
        <v>12676.41</v>
      </c>
      <c r="O153" s="676">
        <v>-56377.56</v>
      </c>
      <c r="P153" s="676">
        <v>-5.08</v>
      </c>
      <c r="Q153" s="676">
        <v>-24312.75</v>
      </c>
      <c r="R153" s="676">
        <v>-16352.159999999996</v>
      </c>
      <c r="S153" s="676">
        <v>13981</v>
      </c>
      <c r="T153" s="676">
        <v>4604115.1388430009</v>
      </c>
    </row>
    <row r="154" spans="1:20" customFormat="1" ht="14.5">
      <c r="A154" s="235">
        <v>2306</v>
      </c>
      <c r="B154" s="235">
        <v>103326</v>
      </c>
      <c r="C154" s="235" t="s">
        <v>734</v>
      </c>
      <c r="D154" s="168" t="s">
        <v>523</v>
      </c>
      <c r="E154" s="236" t="s">
        <v>539</v>
      </c>
      <c r="F154" s="236" t="s">
        <v>537</v>
      </c>
      <c r="G154" s="283"/>
      <c r="H154" s="676">
        <v>1019318.3313713768</v>
      </c>
      <c r="I154" s="676">
        <v>0</v>
      </c>
      <c r="J154" s="676">
        <v>20838.666666666664</v>
      </c>
      <c r="K154" s="676">
        <v>68932</v>
      </c>
      <c r="L154" s="676">
        <v>41970.29</v>
      </c>
      <c r="M154" s="676">
        <v>0</v>
      </c>
      <c r="N154" s="676">
        <v>2576.19</v>
      </c>
      <c r="O154" s="676">
        <v>-14915.092500000001</v>
      </c>
      <c r="P154" s="676">
        <v>-16.059999999999999</v>
      </c>
      <c r="Q154" s="676">
        <v>-5139.75</v>
      </c>
      <c r="R154" s="676">
        <v>-4127.16</v>
      </c>
      <c r="S154" s="676">
        <v>6340</v>
      </c>
      <c r="T154" s="676">
        <v>1135777.4155380432</v>
      </c>
    </row>
    <row r="155" spans="1:20" customFormat="1" ht="14.5">
      <c r="A155" s="235">
        <v>2308</v>
      </c>
      <c r="B155" s="235">
        <v>103328</v>
      </c>
      <c r="C155" s="235" t="s">
        <v>592</v>
      </c>
      <c r="D155" s="168" t="s">
        <v>383</v>
      </c>
      <c r="E155" s="236" t="s">
        <v>539</v>
      </c>
      <c r="F155" s="236" t="s">
        <v>537</v>
      </c>
      <c r="G155" s="283"/>
      <c r="H155" s="676">
        <v>2032577.3324743751</v>
      </c>
      <c r="I155" s="676">
        <v>0</v>
      </c>
      <c r="J155" s="676">
        <v>116235.69000000002</v>
      </c>
      <c r="K155" s="676">
        <v>178012</v>
      </c>
      <c r="L155" s="676">
        <v>45580.93</v>
      </c>
      <c r="M155" s="676">
        <v>0</v>
      </c>
      <c r="N155" s="676">
        <v>0</v>
      </c>
      <c r="O155" s="676">
        <v>-27029.834999999995</v>
      </c>
      <c r="P155" s="676">
        <v>0</v>
      </c>
      <c r="Q155" s="676">
        <v>-9471</v>
      </c>
      <c r="R155" s="676">
        <v>-7628.4000000000015</v>
      </c>
      <c r="S155" s="676">
        <v>8790.25</v>
      </c>
      <c r="T155" s="676">
        <v>2337066.9674743754</v>
      </c>
    </row>
    <row r="156" spans="1:20" customFormat="1" ht="14.5">
      <c r="A156" s="235">
        <v>2245</v>
      </c>
      <c r="B156" s="235">
        <v>103295</v>
      </c>
      <c r="C156" s="235" t="s">
        <v>735</v>
      </c>
      <c r="D156" s="168" t="s">
        <v>524</v>
      </c>
      <c r="E156" s="236" t="s">
        <v>539</v>
      </c>
      <c r="F156" s="236" t="s">
        <v>537</v>
      </c>
      <c r="G156" s="283"/>
      <c r="H156" s="676">
        <v>1296521.1174289475</v>
      </c>
      <c r="I156" s="676">
        <v>0</v>
      </c>
      <c r="J156" s="676">
        <v>136833.73833333331</v>
      </c>
      <c r="K156" s="676">
        <v>115140</v>
      </c>
      <c r="L156" s="676">
        <v>28040.93</v>
      </c>
      <c r="M156" s="676">
        <v>0</v>
      </c>
      <c r="N156" s="676">
        <v>1726.27</v>
      </c>
      <c r="O156" s="676">
        <v>-13946.572500000002</v>
      </c>
      <c r="P156" s="676">
        <v>-3.12</v>
      </c>
      <c r="Q156" s="676">
        <v>-5139.75</v>
      </c>
      <c r="R156" s="676">
        <v>-4127.16</v>
      </c>
      <c r="S156" s="676">
        <v>6532.38</v>
      </c>
      <c r="T156" s="676">
        <v>1561577.8332622806</v>
      </c>
    </row>
    <row r="157" spans="1:20" customFormat="1" ht="14.5">
      <c r="A157" s="235">
        <v>1014</v>
      </c>
      <c r="B157" s="235">
        <v>103127</v>
      </c>
      <c r="C157" s="235" t="s">
        <v>685</v>
      </c>
      <c r="D157" s="168" t="s">
        <v>475</v>
      </c>
      <c r="E157" s="236" t="s">
        <v>536</v>
      </c>
      <c r="F157" s="236" t="s">
        <v>537</v>
      </c>
      <c r="G157" s="283"/>
      <c r="H157" s="676">
        <v>569998.42371319921</v>
      </c>
      <c r="I157" s="676">
        <v>0</v>
      </c>
      <c r="J157" s="676">
        <v>21761.404168421053</v>
      </c>
      <c r="K157" s="676">
        <v>0</v>
      </c>
      <c r="L157" s="676">
        <v>0</v>
      </c>
      <c r="M157" s="676">
        <v>0</v>
      </c>
      <c r="N157" s="676">
        <v>0</v>
      </c>
      <c r="O157" s="676">
        <v>0</v>
      </c>
      <c r="P157" s="676">
        <v>0</v>
      </c>
      <c r="Q157" s="676">
        <v>-3291.75</v>
      </c>
      <c r="R157" s="676">
        <v>0</v>
      </c>
      <c r="S157" s="676">
        <v>4985.5</v>
      </c>
      <c r="T157" s="676">
        <v>593453.57788162027</v>
      </c>
    </row>
    <row r="158" spans="1:20" customFormat="1" ht="14.5">
      <c r="A158" s="235">
        <v>2011</v>
      </c>
      <c r="B158" s="235">
        <v>134099</v>
      </c>
      <c r="C158" s="235" t="s">
        <v>593</v>
      </c>
      <c r="D158" s="168" t="s">
        <v>384</v>
      </c>
      <c r="E158" s="236" t="s">
        <v>539</v>
      </c>
      <c r="F158" s="236" t="s">
        <v>537</v>
      </c>
      <c r="G158" s="283"/>
      <c r="H158" s="676">
        <v>2729622.9744784399</v>
      </c>
      <c r="I158" s="676">
        <v>0</v>
      </c>
      <c r="J158" s="676">
        <v>174915.45333333334</v>
      </c>
      <c r="K158" s="676">
        <v>174156</v>
      </c>
      <c r="L158" s="676">
        <v>91387.53</v>
      </c>
      <c r="M158" s="676">
        <v>0</v>
      </c>
      <c r="N158" s="676">
        <v>0</v>
      </c>
      <c r="O158" s="676">
        <v>-69787.552500000005</v>
      </c>
      <c r="P158" s="676">
        <v>0</v>
      </c>
      <c r="Q158" s="676">
        <v>-18745.650000000001</v>
      </c>
      <c r="R158" s="676">
        <v>-11931.6</v>
      </c>
      <c r="S158" s="676">
        <v>0</v>
      </c>
      <c r="T158" s="676">
        <v>3069617.1553117726</v>
      </c>
    </row>
    <row r="159" spans="1:20" customFormat="1" ht="14.5">
      <c r="A159" s="235">
        <v>4193</v>
      </c>
      <c r="B159" s="235">
        <v>103501</v>
      </c>
      <c r="C159" s="235" t="s">
        <v>594</v>
      </c>
      <c r="D159" s="168" t="s">
        <v>385</v>
      </c>
      <c r="E159" s="236" t="s">
        <v>543</v>
      </c>
      <c r="F159" s="236" t="s">
        <v>537</v>
      </c>
      <c r="G159" s="283"/>
      <c r="H159" s="676">
        <v>4019295.6331958733</v>
      </c>
      <c r="I159" s="676">
        <v>0</v>
      </c>
      <c r="J159" s="676">
        <v>126818.22333333333</v>
      </c>
      <c r="K159" s="676">
        <v>136214</v>
      </c>
      <c r="L159" s="676">
        <v>1533</v>
      </c>
      <c r="M159" s="676">
        <v>0</v>
      </c>
      <c r="N159" s="676">
        <v>0</v>
      </c>
      <c r="O159" s="676">
        <v>-94527.794999999998</v>
      </c>
      <c r="P159" s="676">
        <v>0</v>
      </c>
      <c r="Q159" s="676">
        <v>-18745.650000000001</v>
      </c>
      <c r="R159" s="676">
        <v>-10190.8125</v>
      </c>
      <c r="S159" s="676">
        <v>0</v>
      </c>
      <c r="T159" s="676">
        <v>4160396.5990292062</v>
      </c>
    </row>
    <row r="160" spans="1:20" customFormat="1" ht="14.5">
      <c r="A160" s="235">
        <v>2478</v>
      </c>
      <c r="B160" s="235">
        <v>132007</v>
      </c>
      <c r="C160" s="235" t="s">
        <v>598</v>
      </c>
      <c r="D160" s="168" t="s">
        <v>389</v>
      </c>
      <c r="E160" s="236" t="s">
        <v>539</v>
      </c>
      <c r="F160" s="236" t="s">
        <v>537</v>
      </c>
      <c r="G160" s="283"/>
      <c r="H160" s="676">
        <v>1748662.8828947367</v>
      </c>
      <c r="I160" s="676">
        <v>0</v>
      </c>
      <c r="J160" s="676">
        <v>30720.66333333333</v>
      </c>
      <c r="K160" s="676">
        <v>30456</v>
      </c>
      <c r="L160" s="676">
        <v>101063</v>
      </c>
      <c r="M160" s="676">
        <v>0</v>
      </c>
      <c r="N160" s="676">
        <v>0</v>
      </c>
      <c r="O160" s="676">
        <v>-35324.684999999998</v>
      </c>
      <c r="P160" s="676">
        <v>0</v>
      </c>
      <c r="Q160" s="676">
        <v>-11934</v>
      </c>
      <c r="R160" s="676">
        <v>-8293.4400000000023</v>
      </c>
      <c r="S160" s="676">
        <v>9121</v>
      </c>
      <c r="T160" s="676">
        <v>1864471.42122807</v>
      </c>
    </row>
    <row r="161" spans="1:20" customFormat="1" ht="14.5">
      <c r="A161" s="235">
        <v>2293</v>
      </c>
      <c r="B161" s="235">
        <v>103317</v>
      </c>
      <c r="C161" s="235" t="s">
        <v>595</v>
      </c>
      <c r="D161" s="168" t="s">
        <v>386</v>
      </c>
      <c r="E161" s="236" t="s">
        <v>539</v>
      </c>
      <c r="F161" s="236" t="s">
        <v>537</v>
      </c>
      <c r="G161" s="283"/>
      <c r="H161" s="676">
        <v>2761958.1610767883</v>
      </c>
      <c r="I161" s="676">
        <v>0</v>
      </c>
      <c r="J161" s="676">
        <v>72465.233333333337</v>
      </c>
      <c r="K161" s="676">
        <v>201670</v>
      </c>
      <c r="L161" s="676">
        <v>82811</v>
      </c>
      <c r="M161" s="676">
        <v>0</v>
      </c>
      <c r="N161" s="676">
        <v>0</v>
      </c>
      <c r="O161" s="676">
        <v>-30806.062499999996</v>
      </c>
      <c r="P161" s="676">
        <v>0</v>
      </c>
      <c r="Q161" s="676">
        <v>-12566.4</v>
      </c>
      <c r="R161" s="676">
        <v>-11188.32</v>
      </c>
      <c r="S161" s="676">
        <v>10894</v>
      </c>
      <c r="T161" s="676">
        <v>3075237.611910122</v>
      </c>
    </row>
    <row r="162" spans="1:20" customFormat="1" ht="14.5">
      <c r="A162" s="235">
        <v>2278</v>
      </c>
      <c r="B162" s="235">
        <v>103310</v>
      </c>
      <c r="C162" s="235" t="s">
        <v>737</v>
      </c>
      <c r="D162" s="168" t="s">
        <v>526</v>
      </c>
      <c r="E162" s="236" t="s">
        <v>539</v>
      </c>
      <c r="F162" s="236" t="s">
        <v>537</v>
      </c>
      <c r="G162" s="283"/>
      <c r="H162" s="676">
        <v>1943719.3760212958</v>
      </c>
      <c r="I162" s="676">
        <v>0</v>
      </c>
      <c r="J162" s="676">
        <v>206345.93333333335</v>
      </c>
      <c r="K162" s="676">
        <v>190090</v>
      </c>
      <c r="L162" s="676">
        <v>52876.93</v>
      </c>
      <c r="M162" s="676">
        <v>0</v>
      </c>
      <c r="N162" s="676">
        <v>4126.9799999999996</v>
      </c>
      <c r="O162" s="676">
        <v>-18401.73</v>
      </c>
      <c r="P162" s="676">
        <v>-39.839999999999975</v>
      </c>
      <c r="Q162" s="676">
        <v>-9471</v>
      </c>
      <c r="R162" s="676">
        <v>-7843.5599999999977</v>
      </c>
      <c r="S162" s="676">
        <v>8623.75</v>
      </c>
      <c r="T162" s="676">
        <v>2370026.8393546296</v>
      </c>
    </row>
    <row r="163" spans="1:20" customFormat="1" ht="14.5">
      <c r="A163" s="235">
        <v>2314</v>
      </c>
      <c r="B163" s="235">
        <v>103334</v>
      </c>
      <c r="C163" s="235" t="s">
        <v>687</v>
      </c>
      <c r="D163" s="168" t="s">
        <v>477</v>
      </c>
      <c r="E163" s="236" t="s">
        <v>539</v>
      </c>
      <c r="F163" s="236" t="s">
        <v>1000</v>
      </c>
      <c r="G163" s="283"/>
      <c r="H163" s="676">
        <v>485935.33066962636</v>
      </c>
      <c r="I163" s="676">
        <v>0</v>
      </c>
      <c r="J163" s="676">
        <v>22498.12</v>
      </c>
      <c r="K163" s="676">
        <v>34350</v>
      </c>
      <c r="L163" s="676">
        <v>41940.93</v>
      </c>
      <c r="M163" s="676">
        <v>0</v>
      </c>
      <c r="N163" s="676">
        <v>1376.3400000000001</v>
      </c>
      <c r="O163" s="676">
        <v>-18595.429999999997</v>
      </c>
      <c r="P163" s="676">
        <v>-4.6900000000000004</v>
      </c>
      <c r="Q163" s="676">
        <v>-2141.5625</v>
      </c>
      <c r="R163" s="676">
        <v>-2249.3999999999996</v>
      </c>
      <c r="S163" s="676">
        <v>6385</v>
      </c>
      <c r="T163" s="676">
        <v>569494.63816962636</v>
      </c>
    </row>
    <row r="164" spans="1:20" customFormat="1" ht="14.5">
      <c r="A164" s="235">
        <v>2317</v>
      </c>
      <c r="B164" s="235">
        <v>103337</v>
      </c>
      <c r="C164" s="235" t="s">
        <v>738</v>
      </c>
      <c r="D164" s="168" t="s">
        <v>527</v>
      </c>
      <c r="E164" s="236" t="s">
        <v>539</v>
      </c>
      <c r="F164" s="236" t="s">
        <v>537</v>
      </c>
      <c r="G164" s="283"/>
      <c r="H164" s="676">
        <v>1375373.9257476628</v>
      </c>
      <c r="I164" s="676">
        <v>0</v>
      </c>
      <c r="J164" s="676">
        <v>78391.13</v>
      </c>
      <c r="K164" s="676">
        <v>63030</v>
      </c>
      <c r="L164" s="676">
        <v>93989.659999999989</v>
      </c>
      <c r="M164" s="676">
        <v>0</v>
      </c>
      <c r="N164" s="676">
        <v>1243.25</v>
      </c>
      <c r="O164" s="676">
        <v>-11537.362499999999</v>
      </c>
      <c r="P164" s="676">
        <v>-55.96</v>
      </c>
      <c r="Q164" s="676">
        <v>-5139.75</v>
      </c>
      <c r="R164" s="676">
        <v>-4909.5599999999995</v>
      </c>
      <c r="S164" s="676">
        <v>7429</v>
      </c>
      <c r="T164" s="676">
        <v>1597814.3332476625</v>
      </c>
    </row>
    <row r="165" spans="1:20" customFormat="1" ht="14.5">
      <c r="A165" s="235">
        <v>2225</v>
      </c>
      <c r="B165" s="235">
        <v>103279</v>
      </c>
      <c r="C165" s="235" t="s">
        <v>596</v>
      </c>
      <c r="D165" s="168" t="s">
        <v>387</v>
      </c>
      <c r="E165" s="236" t="s">
        <v>539</v>
      </c>
      <c r="F165" s="236" t="s">
        <v>537</v>
      </c>
      <c r="G165" s="283"/>
      <c r="H165" s="676">
        <v>1732593.369587118</v>
      </c>
      <c r="I165" s="676">
        <v>0</v>
      </c>
      <c r="J165" s="676">
        <v>193987.56500000006</v>
      </c>
      <c r="K165" s="676">
        <v>141826</v>
      </c>
      <c r="L165" s="676">
        <v>31521.75</v>
      </c>
      <c r="M165" s="676">
        <v>0</v>
      </c>
      <c r="N165" s="676">
        <v>0</v>
      </c>
      <c r="O165" s="676">
        <v>-15293.7225</v>
      </c>
      <c r="P165" s="676">
        <v>0</v>
      </c>
      <c r="Q165" s="676">
        <v>-9747</v>
      </c>
      <c r="R165" s="676">
        <v>-7061.16</v>
      </c>
      <c r="S165" s="676">
        <v>8140</v>
      </c>
      <c r="T165" s="676">
        <v>2075966.8020871184</v>
      </c>
    </row>
    <row r="166" spans="1:20" customFormat="1" ht="14.5">
      <c r="A166" s="235">
        <v>2412</v>
      </c>
      <c r="B166" s="235">
        <v>103349</v>
      </c>
      <c r="C166" s="235" t="s">
        <v>597</v>
      </c>
      <c r="D166" s="168" t="s">
        <v>388</v>
      </c>
      <c r="E166" s="236" t="s">
        <v>539</v>
      </c>
      <c r="F166" s="236" t="s">
        <v>537</v>
      </c>
      <c r="G166" s="283"/>
      <c r="H166" s="676">
        <v>1677723.5232997066</v>
      </c>
      <c r="I166" s="676">
        <v>0</v>
      </c>
      <c r="J166" s="676">
        <v>138500.09999999998</v>
      </c>
      <c r="K166" s="676">
        <v>92172</v>
      </c>
      <c r="L166" s="676">
        <v>78617</v>
      </c>
      <c r="M166" s="676">
        <v>0</v>
      </c>
      <c r="N166" s="676">
        <v>0</v>
      </c>
      <c r="O166" s="676">
        <v>-24048.607500000006</v>
      </c>
      <c r="P166" s="676">
        <v>0</v>
      </c>
      <c r="Q166" s="676">
        <v>-9471</v>
      </c>
      <c r="R166" s="676">
        <v>-8019.5999999999995</v>
      </c>
      <c r="S166" s="676">
        <v>8725</v>
      </c>
      <c r="T166" s="676">
        <v>1954198.4157997067</v>
      </c>
    </row>
    <row r="167" spans="1:20" customFormat="1" ht="14.5">
      <c r="A167" s="235">
        <v>3421</v>
      </c>
      <c r="B167" s="235">
        <v>133996</v>
      </c>
      <c r="C167" s="235" t="s">
        <v>739</v>
      </c>
      <c r="D167" s="168" t="s">
        <v>528</v>
      </c>
      <c r="E167" s="236" t="s">
        <v>539</v>
      </c>
      <c r="F167" s="236" t="s">
        <v>537</v>
      </c>
      <c r="G167" s="283"/>
      <c r="H167" s="676">
        <v>3457847.3673678576</v>
      </c>
      <c r="I167" s="676">
        <v>0</v>
      </c>
      <c r="J167" s="676">
        <v>151205.12866666666</v>
      </c>
      <c r="K167" s="676">
        <v>255076</v>
      </c>
      <c r="L167" s="676">
        <v>127610.72</v>
      </c>
      <c r="M167" s="676">
        <v>0</v>
      </c>
      <c r="N167" s="676">
        <v>3699.64</v>
      </c>
      <c r="O167" s="676">
        <v>-24406.514999999996</v>
      </c>
      <c r="P167" s="676">
        <v>-16.589999999999975</v>
      </c>
      <c r="Q167" s="676">
        <v>-24312.75</v>
      </c>
      <c r="R167" s="676">
        <v>-16371.72</v>
      </c>
      <c r="S167" s="676">
        <v>13393.75</v>
      </c>
      <c r="T167" s="676">
        <v>3943725.0310345246</v>
      </c>
    </row>
    <row r="168" spans="1:20" customFormat="1" ht="14.5">
      <c r="A168" s="235">
        <v>2227</v>
      </c>
      <c r="B168" s="235">
        <v>103281</v>
      </c>
      <c r="C168" s="235" t="s">
        <v>688</v>
      </c>
      <c r="D168" s="168" t="s">
        <v>478</v>
      </c>
      <c r="E168" s="236" t="s">
        <v>539</v>
      </c>
      <c r="F168" s="236" t="s">
        <v>537</v>
      </c>
      <c r="G168" s="283"/>
      <c r="H168" s="676">
        <v>2118028.9776477041</v>
      </c>
      <c r="I168" s="676">
        <v>0</v>
      </c>
      <c r="J168" s="676">
        <v>113130.21333333333</v>
      </c>
      <c r="K168" s="676">
        <v>178326</v>
      </c>
      <c r="L168" s="676">
        <v>49571</v>
      </c>
      <c r="M168" s="676">
        <v>0</v>
      </c>
      <c r="N168" s="676">
        <v>5001.8</v>
      </c>
      <c r="O168" s="676">
        <v>-15689.9025</v>
      </c>
      <c r="P168" s="676">
        <v>-3.13</v>
      </c>
      <c r="Q168" s="676">
        <v>-9471</v>
      </c>
      <c r="R168" s="676">
        <v>-7941.3599999999988</v>
      </c>
      <c r="S168" s="676">
        <v>9172.75</v>
      </c>
      <c r="T168" s="676">
        <v>2440125.3484810377</v>
      </c>
    </row>
    <row r="169" spans="1:20" customFormat="1" ht="14.5">
      <c r="A169" s="235">
        <v>2231</v>
      </c>
      <c r="B169" s="235">
        <v>103284</v>
      </c>
      <c r="C169" s="235" t="s">
        <v>689</v>
      </c>
      <c r="D169" s="168" t="s">
        <v>479</v>
      </c>
      <c r="E169" s="236" t="s">
        <v>539</v>
      </c>
      <c r="F169" s="236" t="s">
        <v>537</v>
      </c>
      <c r="G169" s="283"/>
      <c r="H169" s="676">
        <v>1999527.0590692153</v>
      </c>
      <c r="I169" s="676">
        <v>0</v>
      </c>
      <c r="J169" s="676">
        <v>34319.58666666667</v>
      </c>
      <c r="K169" s="676">
        <v>160390</v>
      </c>
      <c r="L169" s="676">
        <v>54694</v>
      </c>
      <c r="M169" s="676">
        <v>0</v>
      </c>
      <c r="N169" s="676">
        <v>3780.3200000000006</v>
      </c>
      <c r="O169" s="676">
        <v>-19273.395</v>
      </c>
      <c r="P169" s="676">
        <v>-1.9</v>
      </c>
      <c r="Q169" s="676">
        <v>-9471</v>
      </c>
      <c r="R169" s="676">
        <v>-8391.24</v>
      </c>
      <c r="S169" s="676">
        <v>9094</v>
      </c>
      <c r="T169" s="676">
        <v>2224667.4307358819</v>
      </c>
    </row>
    <row r="170" spans="1:20" customFormat="1" ht="14.5">
      <c r="A170" s="235">
        <v>1001</v>
      </c>
      <c r="B170" s="235">
        <v>103120</v>
      </c>
      <c r="C170" s="235" t="s">
        <v>693</v>
      </c>
      <c r="D170" s="168" t="s">
        <v>483</v>
      </c>
      <c r="E170" s="236" t="s">
        <v>536</v>
      </c>
      <c r="F170" s="236" t="s">
        <v>537</v>
      </c>
      <c r="G170" s="283"/>
      <c r="H170" s="676">
        <v>403729.86851677287</v>
      </c>
      <c r="I170" s="676">
        <v>0</v>
      </c>
      <c r="J170" s="676">
        <v>3792.6057894736841</v>
      </c>
      <c r="K170" s="676">
        <v>0</v>
      </c>
      <c r="L170" s="676">
        <v>856.93</v>
      </c>
      <c r="M170" s="676">
        <v>0</v>
      </c>
      <c r="N170" s="676">
        <v>161.81</v>
      </c>
      <c r="O170" s="676">
        <v>0</v>
      </c>
      <c r="P170" s="676">
        <v>-5.89</v>
      </c>
      <c r="Q170" s="676">
        <v>-3291.75</v>
      </c>
      <c r="R170" s="676">
        <v>0</v>
      </c>
      <c r="S170" s="676">
        <v>4573.75</v>
      </c>
      <c r="T170" s="676">
        <v>409817.32430624653</v>
      </c>
    </row>
    <row r="171" spans="1:20" customFormat="1" ht="14.5">
      <c r="A171" s="235">
        <v>2464</v>
      </c>
      <c r="B171" s="235">
        <v>103390</v>
      </c>
      <c r="C171" s="235" t="s">
        <v>701</v>
      </c>
      <c r="D171" s="168" t="s">
        <v>490</v>
      </c>
      <c r="E171" s="236" t="s">
        <v>539</v>
      </c>
      <c r="F171" s="289" t="s">
        <v>537</v>
      </c>
      <c r="G171" s="283"/>
      <c r="H171" s="676">
        <v>1606534.3574999999</v>
      </c>
      <c r="I171" s="676">
        <v>0</v>
      </c>
      <c r="J171" s="676">
        <v>42686.536666666667</v>
      </c>
      <c r="K171" s="676">
        <v>27626</v>
      </c>
      <c r="L171" s="676">
        <v>87185</v>
      </c>
      <c r="M171" s="676">
        <v>0</v>
      </c>
      <c r="N171" s="676">
        <v>1328.25</v>
      </c>
      <c r="O171" s="676">
        <v>-24048.607500000006</v>
      </c>
      <c r="P171" s="676">
        <v>-13.149999999999977</v>
      </c>
      <c r="Q171" s="676">
        <v>-11097</v>
      </c>
      <c r="R171" s="676">
        <v>-8039.1599999999989</v>
      </c>
      <c r="S171" s="676">
        <v>8691.25</v>
      </c>
      <c r="T171" s="676">
        <v>1730853.4766666668</v>
      </c>
    </row>
    <row r="172" spans="1:20" customFormat="1" ht="14.5">
      <c r="A172" s="235">
        <v>2189</v>
      </c>
      <c r="B172" s="235">
        <v>103265</v>
      </c>
      <c r="C172" s="235" t="s">
        <v>709</v>
      </c>
      <c r="D172" s="168" t="s">
        <v>498</v>
      </c>
      <c r="E172" s="236" t="s">
        <v>539</v>
      </c>
      <c r="F172" s="289" t="s">
        <v>537</v>
      </c>
      <c r="G172" s="283"/>
      <c r="H172" s="676">
        <v>1195281.7340399276</v>
      </c>
      <c r="I172" s="676">
        <v>0</v>
      </c>
      <c r="J172" s="676">
        <v>45506.796666666669</v>
      </c>
      <c r="K172" s="676">
        <v>90900</v>
      </c>
      <c r="L172" s="676">
        <v>44565.57</v>
      </c>
      <c r="M172" s="676">
        <v>0</v>
      </c>
      <c r="N172" s="676">
        <v>471.16</v>
      </c>
      <c r="O172" s="676">
        <v>-23651.107500000002</v>
      </c>
      <c r="P172" s="676">
        <v>-53.45</v>
      </c>
      <c r="Q172" s="676">
        <v>-5139.75</v>
      </c>
      <c r="R172" s="676">
        <v>-4303.2</v>
      </c>
      <c r="S172" s="676">
        <v>6724.75</v>
      </c>
      <c r="T172" s="676">
        <v>1350302.5032065944</v>
      </c>
    </row>
    <row r="173" spans="1:20" customFormat="1" ht="14.5">
      <c r="A173" s="235">
        <v>7060</v>
      </c>
      <c r="B173" s="235">
        <v>103630</v>
      </c>
      <c r="C173" s="235" t="s">
        <v>710</v>
      </c>
      <c r="D173" s="168" t="s">
        <v>499</v>
      </c>
      <c r="E173" s="236" t="s">
        <v>541</v>
      </c>
      <c r="F173" s="289" t="s">
        <v>537</v>
      </c>
      <c r="G173" s="283"/>
      <c r="H173" s="676">
        <v>1031163.5384782609</v>
      </c>
      <c r="I173" s="676">
        <v>0</v>
      </c>
      <c r="J173" s="676">
        <v>1851059.2066561328</v>
      </c>
      <c r="K173" s="676">
        <v>52266</v>
      </c>
      <c r="L173" s="676">
        <v>57439.5</v>
      </c>
      <c r="M173" s="676">
        <v>0</v>
      </c>
      <c r="N173" s="676">
        <v>1852.57</v>
      </c>
      <c r="O173" s="676">
        <v>0</v>
      </c>
      <c r="P173" s="676">
        <v>-8.7699999999999818</v>
      </c>
      <c r="Q173" s="676">
        <v>-3375</v>
      </c>
      <c r="R173" s="676">
        <v>0</v>
      </c>
      <c r="S173" s="676">
        <v>9214.3799999999992</v>
      </c>
      <c r="T173" s="676">
        <v>2999611.4251343934</v>
      </c>
    </row>
    <row r="174" spans="1:20" customFormat="1" ht="14.5">
      <c r="A174" s="235">
        <v>3380</v>
      </c>
      <c r="B174" s="235">
        <v>103465</v>
      </c>
      <c r="C174" s="235" t="s">
        <v>721</v>
      </c>
      <c r="D174" s="168" t="s">
        <v>510</v>
      </c>
      <c r="E174" s="236" t="s">
        <v>539</v>
      </c>
      <c r="F174" s="289" t="s">
        <v>1000</v>
      </c>
      <c r="G174" s="283"/>
      <c r="H174" s="676">
        <v>468962.04396231892</v>
      </c>
      <c r="I174" s="676">
        <v>0</v>
      </c>
      <c r="J174" s="676">
        <v>36555.593333333338</v>
      </c>
      <c r="K174" s="676">
        <v>33587.5</v>
      </c>
      <c r="L174" s="676">
        <v>40235</v>
      </c>
      <c r="M174" s="676">
        <v>0</v>
      </c>
      <c r="N174" s="676">
        <v>0</v>
      </c>
      <c r="O174" s="676">
        <v>-3338.9799999999996</v>
      </c>
      <c r="P174" s="676">
        <v>0</v>
      </c>
      <c r="Q174" s="676">
        <v>0</v>
      </c>
      <c r="R174" s="676">
        <v>-2238.5333333333297</v>
      </c>
      <c r="S174" s="676">
        <v>0</v>
      </c>
      <c r="T174" s="676">
        <v>573762.62396231887</v>
      </c>
    </row>
    <row r="175" spans="1:20" customFormat="1" ht="14.5">
      <c r="A175" s="235">
        <v>1019</v>
      </c>
      <c r="B175" s="235">
        <v>103132</v>
      </c>
      <c r="C175" s="235" t="s">
        <v>733</v>
      </c>
      <c r="D175" s="168" t="s">
        <v>522</v>
      </c>
      <c r="E175" s="236" t="s">
        <v>536</v>
      </c>
      <c r="F175" s="289" t="s">
        <v>537</v>
      </c>
      <c r="G175" s="283"/>
      <c r="H175" s="676">
        <v>576611.54951898847</v>
      </c>
      <c r="I175" s="676">
        <v>0</v>
      </c>
      <c r="J175" s="676">
        <v>2875.45</v>
      </c>
      <c r="K175" s="676">
        <v>0</v>
      </c>
      <c r="L175" s="676">
        <v>876</v>
      </c>
      <c r="M175" s="676">
        <v>0</v>
      </c>
      <c r="N175" s="676">
        <v>428.75</v>
      </c>
      <c r="O175" s="676">
        <v>0</v>
      </c>
      <c r="P175" s="676">
        <v>-6.38</v>
      </c>
      <c r="Q175" s="676">
        <v>-3291.75</v>
      </c>
      <c r="R175" s="676">
        <v>0</v>
      </c>
      <c r="S175" s="676">
        <v>5026</v>
      </c>
      <c r="T175" s="676">
        <v>582519.61951898842</v>
      </c>
    </row>
    <row r="176" spans="1:20" customFormat="1" ht="14.5">
      <c r="A176" s="235">
        <v>2445</v>
      </c>
      <c r="B176" s="235">
        <v>103372</v>
      </c>
      <c r="C176" s="235" t="s">
        <v>736</v>
      </c>
      <c r="D176" s="168" t="s">
        <v>525</v>
      </c>
      <c r="E176" s="236" t="s">
        <v>539</v>
      </c>
      <c r="F176" s="289" t="s">
        <v>537</v>
      </c>
      <c r="G176" s="283"/>
      <c r="H176" s="676">
        <v>1093737.1585381911</v>
      </c>
      <c r="I176" s="676">
        <v>0</v>
      </c>
      <c r="J176" s="676">
        <v>89430.44</v>
      </c>
      <c r="K176" s="676">
        <v>108080</v>
      </c>
      <c r="L176" s="676">
        <v>33035</v>
      </c>
      <c r="M176" s="676">
        <v>0</v>
      </c>
      <c r="N176" s="676">
        <v>0</v>
      </c>
      <c r="O176" s="676">
        <v>-18401.73</v>
      </c>
      <c r="P176" s="676">
        <v>0</v>
      </c>
      <c r="Q176" s="676">
        <v>-5139.75</v>
      </c>
      <c r="R176" s="676">
        <v>-3990.2400000000002</v>
      </c>
      <c r="S176" s="676">
        <v>6283.75</v>
      </c>
      <c r="T176" s="676">
        <v>1303034.6285381911</v>
      </c>
    </row>
    <row r="177" spans="1:20" customFormat="1" ht="14.5">
      <c r="A177" s="235">
        <v>2014</v>
      </c>
      <c r="B177" s="235">
        <v>103162</v>
      </c>
      <c r="C177" s="235" t="s">
        <v>607</v>
      </c>
      <c r="D177" s="168" t="s">
        <v>397</v>
      </c>
      <c r="E177" s="236" t="s">
        <v>539</v>
      </c>
      <c r="F177" s="289" t="s">
        <v>537</v>
      </c>
      <c r="G177" s="283"/>
      <c r="H177" s="676">
        <v>1904147.4631610685</v>
      </c>
      <c r="I177" s="676">
        <v>0</v>
      </c>
      <c r="J177" s="676">
        <v>46088.67</v>
      </c>
      <c r="K177" s="676">
        <v>127260</v>
      </c>
      <c r="L177" s="676">
        <v>58539.86</v>
      </c>
      <c r="M177" s="676">
        <v>0</v>
      </c>
      <c r="N177" s="676">
        <v>908.23</v>
      </c>
      <c r="O177" s="676">
        <v>-25638.592499999999</v>
      </c>
      <c r="P177" s="676">
        <v>-0.8</v>
      </c>
      <c r="Q177" s="676">
        <v>-11070</v>
      </c>
      <c r="R177" s="676">
        <v>-7667.5199999999995</v>
      </c>
      <c r="S177" s="676">
        <v>8682.25</v>
      </c>
      <c r="T177" s="676">
        <v>2101249.5606610687</v>
      </c>
    </row>
    <row r="178" spans="1:20" customFormat="1" ht="14.5">
      <c r="A178" s="235">
        <v>7052</v>
      </c>
      <c r="B178" s="235">
        <v>103627</v>
      </c>
      <c r="C178" s="235" t="s">
        <v>608</v>
      </c>
      <c r="D178" s="168" t="s">
        <v>398</v>
      </c>
      <c r="E178" s="236" t="s">
        <v>541</v>
      </c>
      <c r="F178" s="289" t="s">
        <v>537</v>
      </c>
      <c r="G178" s="283"/>
      <c r="H178" s="676">
        <v>775434.98869565222</v>
      </c>
      <c r="I178" s="676">
        <v>0</v>
      </c>
      <c r="J178" s="676">
        <v>1418261.1834736858</v>
      </c>
      <c r="K178" s="676">
        <v>38432</v>
      </c>
      <c r="L178" s="676">
        <v>18111.29</v>
      </c>
      <c r="M178" s="676">
        <v>0</v>
      </c>
      <c r="N178" s="676">
        <v>817.46</v>
      </c>
      <c r="O178" s="676">
        <v>0</v>
      </c>
      <c r="P178" s="676">
        <v>0</v>
      </c>
      <c r="Q178" s="676">
        <v>-3291.75</v>
      </c>
      <c r="R178" s="676">
        <v>0</v>
      </c>
      <c r="S178" s="676">
        <v>8784.06</v>
      </c>
      <c r="T178" s="676">
        <v>2256549.232169338</v>
      </c>
    </row>
    <row r="179" spans="1:20" customFormat="1" ht="14.5">
      <c r="A179" s="235">
        <v>2456</v>
      </c>
      <c r="B179" s="235">
        <v>103383</v>
      </c>
      <c r="C179" s="235" t="s">
        <v>612</v>
      </c>
      <c r="D179" s="168" t="s">
        <v>402</v>
      </c>
      <c r="E179" s="236" t="s">
        <v>539</v>
      </c>
      <c r="F179" s="289" t="s">
        <v>537</v>
      </c>
      <c r="G179" s="283"/>
      <c r="H179" s="676">
        <v>1036549.9867650002</v>
      </c>
      <c r="I179" s="676">
        <v>0</v>
      </c>
      <c r="J179" s="676">
        <v>76300.866666666669</v>
      </c>
      <c r="K179" s="676">
        <v>62272</v>
      </c>
      <c r="L179" s="676">
        <v>43280</v>
      </c>
      <c r="M179" s="676">
        <v>0</v>
      </c>
      <c r="N179" s="676">
        <v>372.22</v>
      </c>
      <c r="O179" s="676">
        <v>-32793.555</v>
      </c>
      <c r="P179" s="676">
        <v>-0.87000000000000455</v>
      </c>
      <c r="Q179" s="676">
        <v>-5427</v>
      </c>
      <c r="R179" s="676">
        <v>-3931.5600000000004</v>
      </c>
      <c r="S179" s="676">
        <v>6283.75</v>
      </c>
      <c r="T179" s="676">
        <v>1182905.8384316666</v>
      </c>
    </row>
    <row r="180" spans="1:20" customFormat="1" ht="14.5">
      <c r="A180" s="235">
        <v>2254</v>
      </c>
      <c r="B180" s="235">
        <v>103300</v>
      </c>
      <c r="C180" s="235" t="s">
        <v>613</v>
      </c>
      <c r="D180" s="168" t="s">
        <v>403</v>
      </c>
      <c r="E180" s="236" t="s">
        <v>539</v>
      </c>
      <c r="F180" s="289" t="s">
        <v>537</v>
      </c>
      <c r="G180" s="283"/>
      <c r="H180" s="676">
        <v>2587701.6676607388</v>
      </c>
      <c r="I180" s="676">
        <v>0</v>
      </c>
      <c r="J180" s="676">
        <v>187270.31416666665</v>
      </c>
      <c r="K180" s="676">
        <v>192962</v>
      </c>
      <c r="L180" s="676">
        <v>60244</v>
      </c>
      <c r="M180" s="676">
        <v>0</v>
      </c>
      <c r="N180" s="676">
        <v>1302.9500000000003</v>
      </c>
      <c r="O180" s="676">
        <v>-58073.13</v>
      </c>
      <c r="P180" s="676">
        <v>-2.94</v>
      </c>
      <c r="Q180" s="676">
        <v>-12566.4</v>
      </c>
      <c r="R180" s="676">
        <v>-10210.319999999998</v>
      </c>
      <c r="S180" s="676">
        <v>0</v>
      </c>
      <c r="T180" s="676">
        <v>2948628.1418274059</v>
      </c>
    </row>
    <row r="181" spans="1:20" customFormat="1" ht="14.5">
      <c r="A181" s="235">
        <v>1802</v>
      </c>
      <c r="B181" s="235">
        <v>103150</v>
      </c>
      <c r="C181" s="235" t="s">
        <v>604</v>
      </c>
      <c r="D181" s="168" t="s">
        <v>394</v>
      </c>
      <c r="E181" s="236" t="s">
        <v>536</v>
      </c>
      <c r="F181" s="289" t="s">
        <v>537</v>
      </c>
      <c r="G181" s="283"/>
      <c r="H181" s="676">
        <v>466578.97551849275</v>
      </c>
      <c r="I181" s="676">
        <v>0</v>
      </c>
      <c r="J181" s="676">
        <v>16583.039122807018</v>
      </c>
      <c r="K181" s="676">
        <v>0</v>
      </c>
      <c r="L181" s="676">
        <v>0</v>
      </c>
      <c r="M181" s="676">
        <v>0</v>
      </c>
      <c r="N181" s="676">
        <v>870.0200000000001</v>
      </c>
      <c r="O181" s="676">
        <v>0</v>
      </c>
      <c r="P181" s="676">
        <v>-0.40999999999999659</v>
      </c>
      <c r="Q181" s="676">
        <v>-3291.75</v>
      </c>
      <c r="R181" s="676">
        <v>0</v>
      </c>
      <c r="S181" s="676">
        <v>4621</v>
      </c>
      <c r="T181" s="676">
        <v>485360.87464129983</v>
      </c>
    </row>
    <row r="182" spans="1:20" customFormat="1" ht="14.5">
      <c r="A182" s="235">
        <v>2079</v>
      </c>
      <c r="B182" s="235">
        <v>103200</v>
      </c>
      <c r="C182" s="235" t="s">
        <v>623</v>
      </c>
      <c r="D182" s="168" t="s">
        <v>413</v>
      </c>
      <c r="E182" s="236" t="s">
        <v>539</v>
      </c>
      <c r="F182" s="289" t="s">
        <v>537</v>
      </c>
      <c r="G182" s="283"/>
      <c r="H182" s="676">
        <v>1518968.1452779796</v>
      </c>
      <c r="I182" s="676">
        <v>0</v>
      </c>
      <c r="J182" s="676">
        <v>118317.046</v>
      </c>
      <c r="K182" s="676">
        <v>109836</v>
      </c>
      <c r="L182" s="676">
        <v>47077</v>
      </c>
      <c r="M182" s="676">
        <v>0</v>
      </c>
      <c r="N182" s="676">
        <v>302.77999999999997</v>
      </c>
      <c r="O182" s="676">
        <v>-17336.369999999995</v>
      </c>
      <c r="P182" s="676">
        <v>-1.82</v>
      </c>
      <c r="Q182" s="676">
        <v>-8775</v>
      </c>
      <c r="R182" s="676">
        <v>-6356.9999999999991</v>
      </c>
      <c r="S182" s="676">
        <v>7948.75</v>
      </c>
      <c r="T182" s="676">
        <v>1769979.5312779795</v>
      </c>
    </row>
    <row r="183" spans="1:20" customFormat="1" ht="14.5">
      <c r="A183" s="235">
        <v>2091</v>
      </c>
      <c r="B183" s="235">
        <v>103208</v>
      </c>
      <c r="C183" s="235" t="s">
        <v>628</v>
      </c>
      <c r="D183" s="168" t="s">
        <v>418</v>
      </c>
      <c r="E183" s="236" t="s">
        <v>539</v>
      </c>
      <c r="F183" s="289" t="s">
        <v>537</v>
      </c>
      <c r="G183" s="283"/>
      <c r="H183" s="676">
        <v>929572.62702968169</v>
      </c>
      <c r="I183" s="676">
        <v>0</v>
      </c>
      <c r="J183" s="676">
        <v>79146.153333333335</v>
      </c>
      <c r="K183" s="676">
        <v>69490</v>
      </c>
      <c r="L183" s="676">
        <v>36846.86</v>
      </c>
      <c r="M183" s="676">
        <v>0</v>
      </c>
      <c r="N183" s="676">
        <v>433.67999999999995</v>
      </c>
      <c r="O183" s="676">
        <v>-12687.51</v>
      </c>
      <c r="P183" s="676">
        <v>-1.5699999999999932</v>
      </c>
      <c r="Q183" s="676">
        <v>-5139.75</v>
      </c>
      <c r="R183" s="676">
        <v>-3638.16</v>
      </c>
      <c r="S183" s="676">
        <v>6120.63</v>
      </c>
      <c r="T183" s="676">
        <v>1100142.9603630148</v>
      </c>
    </row>
    <row r="184" spans="1:20" customFormat="1" ht="14.5">
      <c r="A184" s="235">
        <v>2477</v>
      </c>
      <c r="B184" s="235">
        <v>132261</v>
      </c>
      <c r="C184" s="235" t="s">
        <v>630</v>
      </c>
      <c r="D184" s="168" t="s">
        <v>420</v>
      </c>
      <c r="E184" s="236" t="s">
        <v>539</v>
      </c>
      <c r="F184" s="289" t="s">
        <v>537</v>
      </c>
      <c r="G184" s="283"/>
      <c r="H184" s="676">
        <v>3290767.3424999998</v>
      </c>
      <c r="I184" s="676">
        <v>0</v>
      </c>
      <c r="J184" s="676">
        <v>132984.58666666667</v>
      </c>
      <c r="K184" s="676">
        <v>78912</v>
      </c>
      <c r="L184" s="676">
        <v>183100.15</v>
      </c>
      <c r="M184" s="676">
        <v>0</v>
      </c>
      <c r="N184" s="676">
        <v>1849.93</v>
      </c>
      <c r="O184" s="676">
        <v>-25042.350000000002</v>
      </c>
      <c r="P184" s="676">
        <v>-3.3799999999999955</v>
      </c>
      <c r="Q184" s="676">
        <v>-24312.75</v>
      </c>
      <c r="R184" s="676">
        <v>-16293.480000000001</v>
      </c>
      <c r="S184" s="676">
        <v>13067.5</v>
      </c>
      <c r="T184" s="676">
        <v>3635029.5491666663</v>
      </c>
    </row>
    <row r="185" spans="1:20" customFormat="1" ht="14.5">
      <c r="A185" s="235">
        <v>3436</v>
      </c>
      <c r="B185" s="235">
        <v>136440</v>
      </c>
      <c r="C185" s="235" t="s">
        <v>631</v>
      </c>
      <c r="D185" s="168" t="s">
        <v>421</v>
      </c>
      <c r="E185" s="236" t="s">
        <v>539</v>
      </c>
      <c r="F185" s="289" t="s">
        <v>537</v>
      </c>
      <c r="G185" s="283"/>
      <c r="H185" s="676">
        <v>897391.67458153423</v>
      </c>
      <c r="I185" s="676">
        <v>0</v>
      </c>
      <c r="J185" s="676">
        <v>27280</v>
      </c>
      <c r="K185" s="676">
        <v>49794</v>
      </c>
      <c r="L185" s="676">
        <v>40733.64</v>
      </c>
      <c r="M185" s="676">
        <v>0</v>
      </c>
      <c r="N185" s="676">
        <v>294.36000000000007</v>
      </c>
      <c r="O185" s="676">
        <v>-5008.4700000000012</v>
      </c>
      <c r="P185" s="676">
        <v>0</v>
      </c>
      <c r="Q185" s="676">
        <v>-5139.75</v>
      </c>
      <c r="R185" s="676">
        <v>-3305.6399999999994</v>
      </c>
      <c r="S185" s="676">
        <v>0</v>
      </c>
      <c r="T185" s="676">
        <v>1002039.8145815342</v>
      </c>
    </row>
    <row r="186" spans="1:20" customFormat="1" ht="14.5">
      <c r="A186" s="235">
        <v>2474</v>
      </c>
      <c r="B186" s="235">
        <v>131672</v>
      </c>
      <c r="C186" s="235" t="s">
        <v>634</v>
      </c>
      <c r="D186" s="168" t="s">
        <v>424</v>
      </c>
      <c r="E186" s="236" t="s">
        <v>539</v>
      </c>
      <c r="F186" s="289" t="s">
        <v>537</v>
      </c>
      <c r="G186" s="283"/>
      <c r="H186" s="676">
        <v>1717351.0529218528</v>
      </c>
      <c r="I186" s="676">
        <v>0</v>
      </c>
      <c r="J186" s="676">
        <v>27973.93</v>
      </c>
      <c r="K186" s="676">
        <v>103376</v>
      </c>
      <c r="L186" s="676">
        <v>71696</v>
      </c>
      <c r="M186" s="676">
        <v>0</v>
      </c>
      <c r="N186" s="676">
        <v>765.24</v>
      </c>
      <c r="O186" s="676">
        <v>-25393.124999999996</v>
      </c>
      <c r="P186" s="676">
        <v>-2.9000000000000057</v>
      </c>
      <c r="Q186" s="676">
        <v>-11151</v>
      </c>
      <c r="R186" s="676">
        <v>-8078.279999999997</v>
      </c>
      <c r="S186" s="676">
        <v>8668.75</v>
      </c>
      <c r="T186" s="676">
        <v>1885205.6679218528</v>
      </c>
    </row>
    <row r="187" spans="1:20" customFormat="1" ht="14.5">
      <c r="A187" s="235">
        <v>3352</v>
      </c>
      <c r="B187" s="235">
        <v>103444</v>
      </c>
      <c r="C187" s="235" t="s">
        <v>637</v>
      </c>
      <c r="D187" s="168" t="s">
        <v>427</v>
      </c>
      <c r="E187" s="236" t="s">
        <v>539</v>
      </c>
      <c r="F187" s="289" t="s">
        <v>537</v>
      </c>
      <c r="G187" s="283"/>
      <c r="H187" s="676">
        <v>759694.48853387102</v>
      </c>
      <c r="I187" s="676">
        <v>0</v>
      </c>
      <c r="J187" s="676">
        <v>59120.263333333336</v>
      </c>
      <c r="K187" s="676">
        <v>37116</v>
      </c>
      <c r="L187" s="676">
        <v>31498</v>
      </c>
      <c r="M187" s="676">
        <v>0</v>
      </c>
      <c r="N187" s="676">
        <v>336.28</v>
      </c>
      <c r="O187" s="676">
        <v>-5405.9699999999993</v>
      </c>
      <c r="P187" s="676">
        <v>-0.27</v>
      </c>
      <c r="Q187" s="676">
        <v>-5139.75</v>
      </c>
      <c r="R187" s="676">
        <v>-2953.56</v>
      </c>
      <c r="S187" s="676">
        <v>0</v>
      </c>
      <c r="T187" s="676">
        <v>874265.4818672043</v>
      </c>
    </row>
    <row r="188" spans="1:20" customFormat="1" ht="14.5">
      <c r="A188" s="235">
        <v>2005</v>
      </c>
      <c r="B188" s="235">
        <v>134098</v>
      </c>
      <c r="C188" s="235" t="s">
        <v>638</v>
      </c>
      <c r="D188" s="168" t="s">
        <v>428</v>
      </c>
      <c r="E188" s="236" t="s">
        <v>539</v>
      </c>
      <c r="F188" s="289" t="s">
        <v>537</v>
      </c>
      <c r="G188" s="283"/>
      <c r="H188" s="676">
        <v>2554014.4253263162</v>
      </c>
      <c r="I188" s="676">
        <v>0</v>
      </c>
      <c r="J188" s="676">
        <v>79393.952166666655</v>
      </c>
      <c r="K188" s="676">
        <v>117992</v>
      </c>
      <c r="L188" s="676">
        <v>111446</v>
      </c>
      <c r="M188" s="676">
        <v>0</v>
      </c>
      <c r="N188" s="676">
        <v>1568.0700000000002</v>
      </c>
      <c r="O188" s="676">
        <v>-44508.600000000006</v>
      </c>
      <c r="P188" s="676">
        <v>-4.2700000000000102</v>
      </c>
      <c r="Q188" s="676">
        <v>-18745.650000000001</v>
      </c>
      <c r="R188" s="676">
        <v>-12244.559999999998</v>
      </c>
      <c r="S188" s="676">
        <v>11383.38</v>
      </c>
      <c r="T188" s="676">
        <v>2800294.7474929825</v>
      </c>
    </row>
    <row r="189" spans="1:20" customFormat="1" ht="14.5">
      <c r="A189" s="235">
        <v>1024</v>
      </c>
      <c r="B189" s="235">
        <v>103137</v>
      </c>
      <c r="C189" s="235" t="s">
        <v>643</v>
      </c>
      <c r="D189" s="168" t="s">
        <v>433</v>
      </c>
      <c r="E189" s="236" t="s">
        <v>536</v>
      </c>
      <c r="F189" s="289" t="s">
        <v>537</v>
      </c>
      <c r="G189" s="283"/>
      <c r="H189" s="676">
        <v>462919.6922343506</v>
      </c>
      <c r="I189" s="676">
        <v>0</v>
      </c>
      <c r="J189" s="676">
        <v>8720.0533999999989</v>
      </c>
      <c r="K189" s="676">
        <v>0</v>
      </c>
      <c r="L189" s="676">
        <v>0</v>
      </c>
      <c r="M189" s="676">
        <v>0</v>
      </c>
      <c r="N189" s="676">
        <v>0</v>
      </c>
      <c r="O189" s="676">
        <v>0</v>
      </c>
      <c r="P189" s="676">
        <v>0</v>
      </c>
      <c r="Q189" s="676">
        <v>-3291.75</v>
      </c>
      <c r="R189" s="676">
        <v>0</v>
      </c>
      <c r="S189" s="676">
        <v>4556.88</v>
      </c>
      <c r="T189" s="676">
        <v>472904.87563435058</v>
      </c>
    </row>
    <row r="190" spans="1:20" customFormat="1" ht="14.5">
      <c r="A190" s="235">
        <v>2004</v>
      </c>
      <c r="B190" s="235">
        <v>134094</v>
      </c>
      <c r="C190" s="235" t="s">
        <v>645</v>
      </c>
      <c r="D190" s="168" t="s">
        <v>435</v>
      </c>
      <c r="E190" s="236" t="s">
        <v>539</v>
      </c>
      <c r="F190" s="289" t="s">
        <v>537</v>
      </c>
      <c r="G190" s="283"/>
      <c r="H190" s="676">
        <v>1394915.2876093748</v>
      </c>
      <c r="I190" s="676">
        <v>0</v>
      </c>
      <c r="J190" s="676">
        <v>39534.339999999997</v>
      </c>
      <c r="K190" s="676">
        <v>95244</v>
      </c>
      <c r="L190" s="676">
        <v>66831.990000000005</v>
      </c>
      <c r="M190" s="676">
        <v>0</v>
      </c>
      <c r="N190" s="676">
        <v>678.96000000000015</v>
      </c>
      <c r="O190" s="676">
        <v>-17723.775000000005</v>
      </c>
      <c r="P190" s="676">
        <v>-1.47</v>
      </c>
      <c r="Q190" s="676">
        <v>-5139.75</v>
      </c>
      <c r="R190" s="676">
        <v>-5848.4400000000005</v>
      </c>
      <c r="S190" s="676">
        <v>7633.75</v>
      </c>
      <c r="T190" s="676">
        <v>1576124.8926093751</v>
      </c>
    </row>
    <row r="191" spans="1:20" customFormat="1" ht="14.5">
      <c r="A191" s="235">
        <v>3431</v>
      </c>
      <c r="B191" s="235">
        <v>134774</v>
      </c>
      <c r="C191" s="235" t="s">
        <v>651</v>
      </c>
      <c r="D191" s="168" t="s">
        <v>441</v>
      </c>
      <c r="E191" s="236" t="s">
        <v>539</v>
      </c>
      <c r="F191" s="289" t="s">
        <v>1000</v>
      </c>
      <c r="G191" s="283"/>
      <c r="H191" s="676">
        <v>1478844.2957894735</v>
      </c>
      <c r="I191" s="676">
        <v>0</v>
      </c>
      <c r="J191" s="676">
        <v>102201.65</v>
      </c>
      <c r="K191" s="676">
        <v>78537.5</v>
      </c>
      <c r="L191" s="676">
        <v>109035</v>
      </c>
      <c r="M191" s="676">
        <v>0</v>
      </c>
      <c r="N191" s="676">
        <v>1080.04</v>
      </c>
      <c r="O191" s="676">
        <v>-117089.25</v>
      </c>
      <c r="P191" s="676">
        <v>-1.5999999999999943</v>
      </c>
      <c r="Q191" s="676">
        <v>-7810.6875</v>
      </c>
      <c r="R191" s="676">
        <v>-6693.8666666666668</v>
      </c>
      <c r="S191" s="676">
        <v>11553.25</v>
      </c>
      <c r="T191" s="676">
        <v>1649656.3316228066</v>
      </c>
    </row>
    <row r="192" spans="1:20" customFormat="1" ht="14.5">
      <c r="A192" s="235">
        <v>1028</v>
      </c>
      <c r="B192" s="235">
        <v>103141</v>
      </c>
      <c r="C192" s="235" t="s">
        <v>652</v>
      </c>
      <c r="D192" s="168" t="s">
        <v>442</v>
      </c>
      <c r="E192" s="236" t="s">
        <v>536</v>
      </c>
      <c r="F192" s="289" t="s">
        <v>537</v>
      </c>
      <c r="G192" s="283"/>
      <c r="H192" s="676">
        <v>451859.96360852127</v>
      </c>
      <c r="I192" s="676">
        <v>0</v>
      </c>
      <c r="J192" s="676">
        <v>16068.91894736842</v>
      </c>
      <c r="K192" s="676">
        <v>0</v>
      </c>
      <c r="L192" s="676">
        <v>876</v>
      </c>
      <c r="M192" s="676">
        <v>0</v>
      </c>
      <c r="N192" s="676">
        <v>0</v>
      </c>
      <c r="O192" s="676">
        <v>0</v>
      </c>
      <c r="P192" s="676">
        <v>0</v>
      </c>
      <c r="Q192" s="676">
        <v>-3291.75</v>
      </c>
      <c r="R192" s="676">
        <v>0</v>
      </c>
      <c r="S192" s="676">
        <v>4567</v>
      </c>
      <c r="T192" s="676">
        <v>470080.13255588966</v>
      </c>
    </row>
    <row r="193" spans="1:20" customFormat="1" ht="14.5">
      <c r="A193" s="235">
        <v>2150</v>
      </c>
      <c r="B193" s="235">
        <v>103241</v>
      </c>
      <c r="C193" s="235" t="s">
        <v>654</v>
      </c>
      <c r="D193" s="168" t="s">
        <v>444</v>
      </c>
      <c r="E193" s="236" t="s">
        <v>539</v>
      </c>
      <c r="F193" s="289" t="s">
        <v>537</v>
      </c>
      <c r="G193" s="283"/>
      <c r="H193" s="676">
        <v>1255565.4719652475</v>
      </c>
      <c r="I193" s="676">
        <v>0</v>
      </c>
      <c r="J193" s="676">
        <v>81742.343333333323</v>
      </c>
      <c r="K193" s="676">
        <v>88426</v>
      </c>
      <c r="L193" s="676">
        <v>44442</v>
      </c>
      <c r="M193" s="676">
        <v>0</v>
      </c>
      <c r="N193" s="676">
        <v>462.78</v>
      </c>
      <c r="O193" s="676">
        <v>-26433.592500000002</v>
      </c>
      <c r="P193" s="676">
        <v>-252.36</v>
      </c>
      <c r="Q193" s="676">
        <v>-5139.75</v>
      </c>
      <c r="R193" s="676">
        <v>-5046.4799999999996</v>
      </c>
      <c r="S193" s="676">
        <v>7240</v>
      </c>
      <c r="T193" s="676">
        <v>1441006.4127985807</v>
      </c>
    </row>
    <row r="194" spans="1:20" customFormat="1" ht="14.5">
      <c r="A194" s="235">
        <v>2425</v>
      </c>
      <c r="B194" s="235">
        <v>103356</v>
      </c>
      <c r="C194" s="235" t="s">
        <v>655</v>
      </c>
      <c r="D194" s="168" t="s">
        <v>445</v>
      </c>
      <c r="E194" s="236" t="s">
        <v>539</v>
      </c>
      <c r="F194" s="289" t="s">
        <v>537</v>
      </c>
      <c r="G194" s="283"/>
      <c r="H194" s="676">
        <v>862627.86163945496</v>
      </c>
      <c r="I194" s="676">
        <v>0</v>
      </c>
      <c r="J194" s="676">
        <v>57518.863333333327</v>
      </c>
      <c r="K194" s="676">
        <v>22882</v>
      </c>
      <c r="L194" s="676">
        <v>55219</v>
      </c>
      <c r="M194" s="676">
        <v>0</v>
      </c>
      <c r="N194" s="676">
        <v>491.91</v>
      </c>
      <c r="O194" s="676">
        <v>-11718.997500000001</v>
      </c>
      <c r="P194" s="676">
        <v>-0.83000000000001251</v>
      </c>
      <c r="Q194" s="676">
        <v>-5139.75</v>
      </c>
      <c r="R194" s="676">
        <v>-4088.0399999999991</v>
      </c>
      <c r="S194" s="676">
        <v>6373.75</v>
      </c>
      <c r="T194" s="676">
        <v>984165.76747278823</v>
      </c>
    </row>
    <row r="195" spans="1:20" customFormat="1" ht="14.5">
      <c r="A195" s="235">
        <v>7034</v>
      </c>
      <c r="B195" s="235">
        <v>103614</v>
      </c>
      <c r="C195" s="235" t="s">
        <v>657</v>
      </c>
      <c r="D195" s="168" t="s">
        <v>447</v>
      </c>
      <c r="E195" s="236" t="s">
        <v>541</v>
      </c>
      <c r="F195" s="289" t="s">
        <v>537</v>
      </c>
      <c r="G195" s="283"/>
      <c r="H195" s="676">
        <v>742437.74130434787</v>
      </c>
      <c r="I195" s="676">
        <v>0</v>
      </c>
      <c r="J195" s="676">
        <v>1370977.0173997781</v>
      </c>
      <c r="K195" s="676">
        <v>22772</v>
      </c>
      <c r="L195" s="676">
        <v>18915.93</v>
      </c>
      <c r="M195" s="676">
        <v>0</v>
      </c>
      <c r="N195" s="676">
        <v>1659.62</v>
      </c>
      <c r="O195" s="676">
        <v>0</v>
      </c>
      <c r="P195" s="676">
        <v>-21.050000000000011</v>
      </c>
      <c r="Q195" s="676">
        <v>-3291.75</v>
      </c>
      <c r="R195" s="676">
        <v>0</v>
      </c>
      <c r="S195" s="676">
        <v>0</v>
      </c>
      <c r="T195" s="676">
        <v>2153449.5087041263</v>
      </c>
    </row>
    <row r="196" spans="1:20" customFormat="1" ht="14.5">
      <c r="A196" s="235">
        <v>2157</v>
      </c>
      <c r="B196" s="235">
        <v>103246</v>
      </c>
      <c r="C196" s="235" t="s">
        <v>658</v>
      </c>
      <c r="D196" s="168" t="s">
        <v>448</v>
      </c>
      <c r="E196" s="236" t="s">
        <v>539</v>
      </c>
      <c r="F196" s="289" t="s">
        <v>537</v>
      </c>
      <c r="G196" s="283"/>
      <c r="H196" s="676">
        <v>1629723.4825095604</v>
      </c>
      <c r="I196" s="676">
        <v>0</v>
      </c>
      <c r="J196" s="676">
        <v>41458.926666666666</v>
      </c>
      <c r="K196" s="676">
        <v>76864</v>
      </c>
      <c r="L196" s="676">
        <v>81712.329999999987</v>
      </c>
      <c r="M196" s="676">
        <v>0</v>
      </c>
      <c r="N196" s="676">
        <v>177</v>
      </c>
      <c r="O196" s="676">
        <v>-20669.872500000001</v>
      </c>
      <c r="P196" s="676">
        <v>-0.25</v>
      </c>
      <c r="Q196" s="676">
        <v>-9471</v>
      </c>
      <c r="R196" s="676">
        <v>-7530.6</v>
      </c>
      <c r="S196" s="676">
        <v>8623.75</v>
      </c>
      <c r="T196" s="676">
        <v>1800887.7666762271</v>
      </c>
    </row>
    <row r="197" spans="1:20" customFormat="1" ht="14.5">
      <c r="A197" s="235">
        <v>1000</v>
      </c>
      <c r="B197" s="235">
        <v>137796</v>
      </c>
      <c r="C197" s="235" t="s">
        <v>662</v>
      </c>
      <c r="D197" s="168" t="s">
        <v>452</v>
      </c>
      <c r="E197" s="236" t="s">
        <v>536</v>
      </c>
      <c r="F197" s="289" t="s">
        <v>537</v>
      </c>
      <c r="G197" s="283"/>
      <c r="H197" s="676">
        <v>372899.57088165206</v>
      </c>
      <c r="I197" s="676">
        <v>0</v>
      </c>
      <c r="J197" s="676">
        <v>7429.5614000000005</v>
      </c>
      <c r="K197" s="676">
        <v>0</v>
      </c>
      <c r="L197" s="676">
        <v>0</v>
      </c>
      <c r="M197" s="676">
        <v>0</v>
      </c>
      <c r="N197" s="676">
        <v>0</v>
      </c>
      <c r="O197" s="676">
        <v>0</v>
      </c>
      <c r="P197" s="676">
        <v>0</v>
      </c>
      <c r="Q197" s="676">
        <v>-1107</v>
      </c>
      <c r="R197" s="676">
        <v>0</v>
      </c>
      <c r="S197" s="676">
        <v>4689.8500000000004</v>
      </c>
      <c r="T197" s="676">
        <v>383911.98228165205</v>
      </c>
    </row>
    <row r="198" spans="1:20" customFormat="1" ht="14.5">
      <c r="A198" s="235">
        <v>3329</v>
      </c>
      <c r="B198" s="235">
        <v>103431</v>
      </c>
      <c r="C198" s="235" t="s">
        <v>666</v>
      </c>
      <c r="D198" s="168" t="s">
        <v>456</v>
      </c>
      <c r="E198" s="236" t="s">
        <v>539</v>
      </c>
      <c r="F198" s="289" t="s">
        <v>1000</v>
      </c>
      <c r="G198" s="283"/>
      <c r="H198" s="676">
        <v>570174.06684625498</v>
      </c>
      <c r="I198" s="676">
        <v>0</v>
      </c>
      <c r="J198" s="676">
        <v>46933.33</v>
      </c>
      <c r="K198" s="676">
        <v>58706.25</v>
      </c>
      <c r="L198" s="676">
        <v>37351</v>
      </c>
      <c r="M198" s="676">
        <v>0</v>
      </c>
      <c r="N198" s="676">
        <v>0</v>
      </c>
      <c r="O198" s="676">
        <v>-3444.9800000000005</v>
      </c>
      <c r="P198" s="676">
        <v>0</v>
      </c>
      <c r="Q198" s="676">
        <v>-2141.5625</v>
      </c>
      <c r="R198" s="676">
        <v>-2195.0666666666698</v>
      </c>
      <c r="S198" s="676">
        <v>0</v>
      </c>
      <c r="T198" s="676">
        <v>705383.03767958831</v>
      </c>
    </row>
    <row r="199" spans="1:20" customFormat="1" ht="14.5">
      <c r="A199" s="235">
        <v>3406</v>
      </c>
      <c r="B199" s="235">
        <v>103476</v>
      </c>
      <c r="C199" s="235" t="s">
        <v>669</v>
      </c>
      <c r="D199" s="168" t="s">
        <v>459</v>
      </c>
      <c r="E199" s="236" t="s">
        <v>539</v>
      </c>
      <c r="F199" s="289" t="s">
        <v>1000</v>
      </c>
      <c r="G199" s="283"/>
      <c r="H199" s="676">
        <v>611896.49141925434</v>
      </c>
      <c r="I199" s="676">
        <v>0</v>
      </c>
      <c r="J199" s="676">
        <v>13933.116666666667</v>
      </c>
      <c r="K199" s="676">
        <v>89470.83</v>
      </c>
      <c r="L199" s="676">
        <v>17606</v>
      </c>
      <c r="M199" s="676">
        <v>0</v>
      </c>
      <c r="N199" s="676">
        <v>0</v>
      </c>
      <c r="O199" s="676">
        <v>-3842.4800000000009</v>
      </c>
      <c r="P199" s="676">
        <v>0</v>
      </c>
      <c r="Q199" s="676">
        <v>0</v>
      </c>
      <c r="R199" s="676">
        <v>-2238.5333333333297</v>
      </c>
      <c r="S199" s="676">
        <v>0</v>
      </c>
      <c r="T199" s="676">
        <v>726825.42475258769</v>
      </c>
    </row>
    <row r="200" spans="1:20" customFormat="1" ht="14.5">
      <c r="A200" s="235">
        <v>3342</v>
      </c>
      <c r="B200" s="235">
        <v>103437</v>
      </c>
      <c r="C200" s="235" t="s">
        <v>671</v>
      </c>
      <c r="D200" s="168" t="s">
        <v>461</v>
      </c>
      <c r="E200" s="236" t="s">
        <v>539</v>
      </c>
      <c r="F200" s="236" t="s">
        <v>1000</v>
      </c>
      <c r="G200" s="283"/>
      <c r="H200" s="676">
        <v>986000.58138582669</v>
      </c>
      <c r="I200" s="676">
        <v>0</v>
      </c>
      <c r="J200" s="676">
        <v>67350.403599999991</v>
      </c>
      <c r="K200" s="676">
        <v>134456.25</v>
      </c>
      <c r="L200" s="676">
        <v>50853</v>
      </c>
      <c r="M200" s="676">
        <v>0</v>
      </c>
      <c r="N200" s="676">
        <v>0</v>
      </c>
      <c r="O200" s="676">
        <v>-7949.9499999999989</v>
      </c>
      <c r="P200" s="676">
        <v>0</v>
      </c>
      <c r="Q200" s="676">
        <v>0</v>
      </c>
      <c r="R200" s="676">
        <v>-4053.2666666666701</v>
      </c>
      <c r="S200" s="676">
        <v>0</v>
      </c>
      <c r="T200" s="676">
        <v>1226657.0183191602</v>
      </c>
    </row>
    <row r="201" spans="1:20" customFormat="1" ht="14.5">
      <c r="A201" s="235">
        <v>3382</v>
      </c>
      <c r="B201" s="235">
        <v>103467</v>
      </c>
      <c r="C201" s="235" t="s">
        <v>675</v>
      </c>
      <c r="D201" s="168" t="s">
        <v>465</v>
      </c>
      <c r="E201" s="236" t="s">
        <v>539</v>
      </c>
      <c r="F201" s="236" t="s">
        <v>537</v>
      </c>
      <c r="G201" s="283"/>
      <c r="H201" s="676">
        <v>972190.91521609854</v>
      </c>
      <c r="I201" s="676">
        <v>0</v>
      </c>
      <c r="J201" s="676">
        <v>51249.33</v>
      </c>
      <c r="K201" s="676">
        <v>57344</v>
      </c>
      <c r="L201" s="676">
        <v>42219</v>
      </c>
      <c r="M201" s="676">
        <v>0</v>
      </c>
      <c r="N201" s="676">
        <v>0</v>
      </c>
      <c r="O201" s="676">
        <v>-3418.4849999999992</v>
      </c>
      <c r="P201" s="676">
        <v>0</v>
      </c>
      <c r="Q201" s="676">
        <v>0</v>
      </c>
      <c r="R201" s="676">
        <v>-4107.5999999999995</v>
      </c>
      <c r="S201" s="676">
        <v>0</v>
      </c>
      <c r="T201" s="676">
        <v>1115477.1602160984</v>
      </c>
    </row>
    <row r="202" spans="1:20" customFormat="1" ht="14.5">
      <c r="A202" s="235">
        <v>3346</v>
      </c>
      <c r="B202" s="235">
        <v>103439</v>
      </c>
      <c r="C202" s="235" t="s">
        <v>677</v>
      </c>
      <c r="D202" s="168" t="s">
        <v>467</v>
      </c>
      <c r="E202" s="236" t="s">
        <v>539</v>
      </c>
      <c r="F202" s="236" t="s">
        <v>537</v>
      </c>
      <c r="G202" s="283"/>
      <c r="H202" s="676">
        <v>1854005.3691369006</v>
      </c>
      <c r="I202" s="676">
        <v>0</v>
      </c>
      <c r="J202" s="676">
        <v>109878.56333333332</v>
      </c>
      <c r="K202" s="676">
        <v>120774</v>
      </c>
      <c r="L202" s="676">
        <v>76327.37</v>
      </c>
      <c r="M202" s="676">
        <v>0</v>
      </c>
      <c r="N202" s="676">
        <v>734.36</v>
      </c>
      <c r="O202" s="676">
        <v>-5346.3375000000005</v>
      </c>
      <c r="P202" s="676">
        <v>-0.31</v>
      </c>
      <c r="Q202" s="676">
        <v>-9471</v>
      </c>
      <c r="R202" s="676">
        <v>-6963.3600000000006</v>
      </c>
      <c r="S202" s="676">
        <v>0</v>
      </c>
      <c r="T202" s="676">
        <v>2139938.6549702338</v>
      </c>
    </row>
    <row r="203" spans="1:20" customFormat="1" ht="14.5">
      <c r="A203" s="235">
        <v>3365</v>
      </c>
      <c r="B203" s="235">
        <v>103456</v>
      </c>
      <c r="C203" s="235" t="s">
        <v>678</v>
      </c>
      <c r="D203" s="168" t="s">
        <v>468</v>
      </c>
      <c r="E203" s="236" t="s">
        <v>539</v>
      </c>
      <c r="F203" s="236" t="s">
        <v>1000</v>
      </c>
      <c r="G203" s="283"/>
      <c r="H203" s="676">
        <v>499792.77744536672</v>
      </c>
      <c r="I203" s="676">
        <v>0</v>
      </c>
      <c r="J203" s="676">
        <v>52339.5</v>
      </c>
      <c r="K203" s="676">
        <v>31693.75</v>
      </c>
      <c r="L203" s="676">
        <v>33320</v>
      </c>
      <c r="M203" s="676">
        <v>0</v>
      </c>
      <c r="N203" s="676">
        <v>0</v>
      </c>
      <c r="O203" s="676">
        <v>-3736.4799999999996</v>
      </c>
      <c r="P203" s="676">
        <v>0</v>
      </c>
      <c r="Q203" s="676">
        <v>-2141.5625</v>
      </c>
      <c r="R203" s="676">
        <v>-2271.1333333333291</v>
      </c>
      <c r="S203" s="676">
        <v>0</v>
      </c>
      <c r="T203" s="676">
        <v>608996.85161203344</v>
      </c>
    </row>
    <row r="204" spans="1:20" customFormat="1" ht="14.5">
      <c r="A204" s="235">
        <v>1009</v>
      </c>
      <c r="B204" s="235">
        <v>103124</v>
      </c>
      <c r="C204" s="235" t="s">
        <v>679</v>
      </c>
      <c r="D204" s="168" t="s">
        <v>469</v>
      </c>
      <c r="E204" s="236" t="s">
        <v>536</v>
      </c>
      <c r="F204" s="236" t="s">
        <v>537</v>
      </c>
      <c r="G204" s="283"/>
      <c r="H204" s="676">
        <v>592053.47441311297</v>
      </c>
      <c r="I204" s="676">
        <v>0</v>
      </c>
      <c r="J204" s="676">
        <v>12069.233199999999</v>
      </c>
      <c r="K204" s="676">
        <v>0</v>
      </c>
      <c r="L204" s="676">
        <v>0</v>
      </c>
      <c r="M204" s="676">
        <v>0</v>
      </c>
      <c r="N204" s="676">
        <v>0</v>
      </c>
      <c r="O204" s="676">
        <v>0</v>
      </c>
      <c r="P204" s="676">
        <v>0</v>
      </c>
      <c r="Q204" s="676">
        <v>-3291.75</v>
      </c>
      <c r="R204" s="676">
        <v>0</v>
      </c>
      <c r="S204" s="676">
        <v>4823.5</v>
      </c>
      <c r="T204" s="676">
        <v>605654.45761311299</v>
      </c>
    </row>
    <row r="205" spans="1:20" customFormat="1" ht="14.5">
      <c r="A205" s="235">
        <v>3310</v>
      </c>
      <c r="B205" s="235">
        <v>103417</v>
      </c>
      <c r="C205" s="235" t="s">
        <v>680</v>
      </c>
      <c r="D205" s="168" t="s">
        <v>470</v>
      </c>
      <c r="E205" s="236" t="s">
        <v>539</v>
      </c>
      <c r="F205" s="236" t="s">
        <v>1000</v>
      </c>
      <c r="G205" s="283"/>
      <c r="H205" s="676">
        <v>604738.68048118742</v>
      </c>
      <c r="I205" s="676">
        <v>0</v>
      </c>
      <c r="J205" s="676">
        <v>26291.466666666667</v>
      </c>
      <c r="K205" s="676">
        <v>87743.75</v>
      </c>
      <c r="L205" s="676">
        <v>23492</v>
      </c>
      <c r="M205" s="676">
        <v>0</v>
      </c>
      <c r="N205" s="676">
        <v>0</v>
      </c>
      <c r="O205" s="676">
        <v>-3974.9799999999996</v>
      </c>
      <c r="P205" s="676">
        <v>0</v>
      </c>
      <c r="Q205" s="676">
        <v>-2345.625</v>
      </c>
      <c r="R205" s="676">
        <v>-2173.3333333333298</v>
      </c>
      <c r="S205" s="676">
        <v>0</v>
      </c>
      <c r="T205" s="676">
        <v>733771.95881452074</v>
      </c>
    </row>
    <row r="206" spans="1:20" customFormat="1" ht="14.5">
      <c r="A206" s="235">
        <v>2246</v>
      </c>
      <c r="B206" s="235">
        <v>103296</v>
      </c>
      <c r="C206" s="235" t="s">
        <v>681</v>
      </c>
      <c r="D206" s="168" t="s">
        <v>471</v>
      </c>
      <c r="E206" s="236" t="s">
        <v>539</v>
      </c>
      <c r="F206" s="236" t="s">
        <v>1000</v>
      </c>
      <c r="G206" s="283"/>
      <c r="H206" s="676">
        <v>269490.77645082166</v>
      </c>
      <c r="I206" s="676">
        <v>0</v>
      </c>
      <c r="J206" s="676">
        <v>17750.5425</v>
      </c>
      <c r="K206" s="676">
        <v>63492</v>
      </c>
      <c r="L206" s="676">
        <v>8733</v>
      </c>
      <c r="M206" s="676">
        <v>0</v>
      </c>
      <c r="N206" s="676">
        <v>0</v>
      </c>
      <c r="O206" s="676">
        <v>-27029.84</v>
      </c>
      <c r="P206" s="676">
        <v>0</v>
      </c>
      <c r="Q206" s="676">
        <v>-1047.2</v>
      </c>
      <c r="R206" s="676">
        <v>-5259.466666666669</v>
      </c>
      <c r="S206" s="676">
        <v>0</v>
      </c>
      <c r="T206" s="676">
        <v>326129.81228415493</v>
      </c>
    </row>
    <row r="207" spans="1:20" customFormat="1" ht="14.5">
      <c r="A207" s="235">
        <v>1020</v>
      </c>
      <c r="B207" s="235">
        <v>103133</v>
      </c>
      <c r="C207" s="235" t="s">
        <v>684</v>
      </c>
      <c r="D207" s="168" t="s">
        <v>474</v>
      </c>
      <c r="E207" s="236" t="s">
        <v>536</v>
      </c>
      <c r="F207" s="236" t="s">
        <v>537</v>
      </c>
      <c r="G207" s="283"/>
      <c r="H207" s="676">
        <v>985404.44932294032</v>
      </c>
      <c r="I207" s="676">
        <v>0</v>
      </c>
      <c r="J207" s="676">
        <v>77669.052596491223</v>
      </c>
      <c r="K207" s="676">
        <v>0</v>
      </c>
      <c r="L207" s="676">
        <v>0</v>
      </c>
      <c r="M207" s="676">
        <v>0</v>
      </c>
      <c r="N207" s="676">
        <v>991.99</v>
      </c>
      <c r="O207" s="676">
        <v>0</v>
      </c>
      <c r="P207" s="676">
        <v>-1.1100000000000001</v>
      </c>
      <c r="Q207" s="676">
        <v>-3291.75</v>
      </c>
      <c r="R207" s="676">
        <v>0</v>
      </c>
      <c r="S207" s="676">
        <v>5424.25</v>
      </c>
      <c r="T207" s="676">
        <v>1066196.8819194315</v>
      </c>
    </row>
    <row r="208" spans="1:20" customFormat="1" ht="14.5">
      <c r="A208" s="235">
        <v>2019</v>
      </c>
      <c r="B208" s="235">
        <v>134279</v>
      </c>
      <c r="C208" s="235" t="s">
        <v>686</v>
      </c>
      <c r="D208" s="168" t="s">
        <v>476</v>
      </c>
      <c r="E208" s="236" t="s">
        <v>539</v>
      </c>
      <c r="F208" s="236" t="s">
        <v>537</v>
      </c>
      <c r="G208" s="283"/>
      <c r="H208" s="676">
        <v>1857745.3292249998</v>
      </c>
      <c r="I208" s="676">
        <v>0</v>
      </c>
      <c r="J208" s="676">
        <v>170528.44666666666</v>
      </c>
      <c r="K208" s="676">
        <v>151474</v>
      </c>
      <c r="L208" s="676">
        <v>67777.929999999993</v>
      </c>
      <c r="M208" s="676">
        <v>0</v>
      </c>
      <c r="N208" s="676">
        <v>553.59</v>
      </c>
      <c r="O208" s="676">
        <v>-46054.694999999992</v>
      </c>
      <c r="P208" s="676">
        <v>-1.94</v>
      </c>
      <c r="Q208" s="676">
        <v>-9471</v>
      </c>
      <c r="R208" s="676">
        <v>-7921.7999999999993</v>
      </c>
      <c r="S208" s="676">
        <v>8578.75</v>
      </c>
      <c r="T208" s="676">
        <v>2193208.6108916667</v>
      </c>
    </row>
    <row r="209" spans="1:7" customFormat="1" ht="15" thickBot="1">
      <c r="A209" s="290">
        <v>1415</v>
      </c>
      <c r="B209" s="290"/>
      <c r="C209" s="290"/>
      <c r="D209" s="291" t="s">
        <v>996</v>
      </c>
      <c r="E209" s="292"/>
      <c r="F209" s="292"/>
      <c r="G209" s="293"/>
    </row>
    <row r="210" spans="1:7" ht="14.5" thickTop="1"/>
  </sheetData>
  <autoFilter ref="A7:G209" xr:uid="{00000000-0001-0000-0400-000000000000}"/>
  <conditionalFormatting sqref="A7:F7 A8:C209 E8:F209">
    <cfRule type="cellIs" dxfId="6" priority="4" operator="lessThan">
      <formula>0</formula>
    </cfRule>
  </conditionalFormatting>
  <pageMargins left="0.7" right="0.7" top="0.75" bottom="0.75" header="0.3" footer="0.3"/>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D218"/>
  <sheetViews>
    <sheetView workbookViewId="0">
      <selection activeCell="A2" sqref="A2"/>
    </sheetView>
  </sheetViews>
  <sheetFormatPr defaultRowHeight="14.5"/>
  <cols>
    <col min="1" max="1" width="75.26953125" customWidth="1"/>
    <col min="2" max="2" width="18.453125" style="114" customWidth="1"/>
    <col min="4" max="4" width="20.26953125" customWidth="1"/>
    <col min="11" max="11" width="12" customWidth="1"/>
    <col min="12" max="12" width="13" customWidth="1"/>
    <col min="13" max="13" width="10.7265625" customWidth="1"/>
    <col min="14" max="14" width="21.7265625" customWidth="1"/>
    <col min="15" max="15" width="23.81640625" customWidth="1"/>
    <col min="22" max="22" width="6.54296875" customWidth="1"/>
    <col min="23" max="23" width="7.7265625" bestFit="1" customWidth="1"/>
    <col min="24" max="24" width="11" bestFit="1" customWidth="1"/>
    <col min="25" max="25" width="66.26953125" customWidth="1"/>
    <col min="26" max="26" width="17.453125" bestFit="1" customWidth="1"/>
    <col min="27" max="27" width="14.7265625" customWidth="1"/>
    <col min="28" max="28" width="6.54296875" customWidth="1"/>
    <col min="29" max="29" width="7.7265625" bestFit="1" customWidth="1"/>
    <col min="30" max="30" width="11" bestFit="1" customWidth="1"/>
  </cols>
  <sheetData>
    <row r="1" spans="1:30">
      <c r="A1" s="123" t="s">
        <v>994</v>
      </c>
      <c r="B1" s="244" t="s">
        <v>4</v>
      </c>
      <c r="K1" t="s">
        <v>315</v>
      </c>
      <c r="L1" t="s">
        <v>10</v>
      </c>
      <c r="M1" t="s">
        <v>9</v>
      </c>
      <c r="N1" t="s">
        <v>316</v>
      </c>
      <c r="O1" t="s">
        <v>317</v>
      </c>
      <c r="V1" s="122"/>
      <c r="W1" s="122"/>
      <c r="AB1" s="122"/>
      <c r="AC1" s="122"/>
    </row>
    <row r="2" spans="1:30" ht="15.5">
      <c r="A2" s="124" t="s">
        <v>1001</v>
      </c>
      <c r="B2" s="125" t="s">
        <v>4</v>
      </c>
      <c r="D2" t="s">
        <v>741</v>
      </c>
    </row>
    <row r="3" spans="1:30" ht="21" customHeight="1">
      <c r="A3" s="124" t="s">
        <v>995</v>
      </c>
      <c r="B3" s="125">
        <v>1415</v>
      </c>
      <c r="C3">
        <v>0</v>
      </c>
      <c r="D3" t="s">
        <v>742</v>
      </c>
      <c r="K3" t="s">
        <v>318</v>
      </c>
      <c r="L3" s="212" t="s">
        <v>10</v>
      </c>
      <c r="M3" s="212" t="s">
        <v>9</v>
      </c>
      <c r="N3" s="212" t="s">
        <v>316</v>
      </c>
      <c r="O3" s="113" t="s">
        <v>317</v>
      </c>
      <c r="Y3" s="229"/>
    </row>
    <row r="4" spans="1:30">
      <c r="A4" s="227" t="s">
        <v>393</v>
      </c>
      <c r="B4" s="125">
        <v>1027</v>
      </c>
      <c r="C4" t="s">
        <v>537</v>
      </c>
      <c r="D4" t="s">
        <v>288</v>
      </c>
      <c r="K4" t="s">
        <v>10</v>
      </c>
      <c r="L4" s="212" t="s">
        <v>45</v>
      </c>
      <c r="M4" s="212" t="s">
        <v>19</v>
      </c>
      <c r="N4" s="212" t="s">
        <v>45</v>
      </c>
      <c r="O4" s="113" t="s">
        <v>19</v>
      </c>
      <c r="Y4" s="229"/>
    </row>
    <row r="5" spans="1:30">
      <c r="A5" s="227" t="s">
        <v>391</v>
      </c>
      <c r="B5" s="125">
        <v>2010</v>
      </c>
      <c r="C5" t="s">
        <v>537</v>
      </c>
      <c r="D5" t="s">
        <v>743</v>
      </c>
      <c r="K5" t="s">
        <v>9</v>
      </c>
      <c r="L5" s="212" t="s">
        <v>47</v>
      </c>
      <c r="M5" s="212" t="s">
        <v>21</v>
      </c>
      <c r="N5" s="212" t="s">
        <v>47</v>
      </c>
      <c r="O5" s="113" t="s">
        <v>21</v>
      </c>
      <c r="Y5" s="229"/>
    </row>
    <row r="6" spans="1:30" ht="15" thickBot="1">
      <c r="A6" s="227" t="s">
        <v>395</v>
      </c>
      <c r="B6" s="125">
        <v>5949</v>
      </c>
      <c r="C6" t="s">
        <v>537</v>
      </c>
      <c r="K6" t="s">
        <v>319</v>
      </c>
      <c r="L6" s="212" t="s">
        <v>49</v>
      </c>
      <c r="M6" s="212" t="s">
        <v>23</v>
      </c>
      <c r="N6" s="212" t="s">
        <v>49</v>
      </c>
      <c r="O6" s="113" t="s">
        <v>23</v>
      </c>
    </row>
    <row r="7" spans="1:30" ht="15" thickBot="1">
      <c r="A7" s="228" t="s">
        <v>331</v>
      </c>
      <c r="B7" s="125">
        <v>1017</v>
      </c>
      <c r="C7" t="s">
        <v>537</v>
      </c>
      <c r="K7" t="s">
        <v>320</v>
      </c>
      <c r="L7" s="212" t="s">
        <v>51</v>
      </c>
      <c r="M7" s="212" t="s">
        <v>270</v>
      </c>
      <c r="N7" s="212" t="s">
        <v>51</v>
      </c>
      <c r="O7" s="113" t="s">
        <v>270</v>
      </c>
      <c r="V7" s="230" t="s">
        <v>530</v>
      </c>
      <c r="W7" s="231" t="s">
        <v>531</v>
      </c>
      <c r="X7" s="232" t="s">
        <v>232</v>
      </c>
      <c r="Y7" s="233" t="s">
        <v>532</v>
      </c>
      <c r="Z7" s="232" t="s">
        <v>533</v>
      </c>
      <c r="AA7" s="233" t="s">
        <v>534</v>
      </c>
      <c r="AB7" s="230" t="s">
        <v>530</v>
      </c>
      <c r="AC7" s="231" t="s">
        <v>531</v>
      </c>
      <c r="AD7" s="232" t="s">
        <v>232</v>
      </c>
    </row>
    <row r="8" spans="1:30">
      <c r="A8" s="227" t="s">
        <v>480</v>
      </c>
      <c r="B8" s="125">
        <v>2153</v>
      </c>
      <c r="C8" t="s">
        <v>537</v>
      </c>
      <c r="L8" s="212" t="s">
        <v>53</v>
      </c>
      <c r="M8" s="212" t="s">
        <v>25</v>
      </c>
      <c r="N8" s="212" t="s">
        <v>53</v>
      </c>
      <c r="O8" s="113" t="s">
        <v>25</v>
      </c>
      <c r="V8" s="278">
        <v>1027</v>
      </c>
      <c r="W8" s="274">
        <v>103140</v>
      </c>
      <c r="X8" s="275" t="s">
        <v>603</v>
      </c>
      <c r="Y8" s="276" t="s">
        <v>393</v>
      </c>
      <c r="Z8" s="275" t="s">
        <v>536</v>
      </c>
      <c r="AA8" s="277" t="s">
        <v>537</v>
      </c>
      <c r="AB8" s="278">
        <v>1027</v>
      </c>
      <c r="AC8" s="274">
        <v>103140</v>
      </c>
      <c r="AD8" s="275" t="s">
        <v>603</v>
      </c>
    </row>
    <row r="9" spans="1:30">
      <c r="A9" s="227" t="s">
        <v>396</v>
      </c>
      <c r="B9" s="125">
        <v>2062</v>
      </c>
      <c r="C9" t="s">
        <v>537</v>
      </c>
      <c r="L9" s="64" t="s">
        <v>55</v>
      </c>
      <c r="M9" s="212" t="s">
        <v>27</v>
      </c>
      <c r="N9" s="212" t="s">
        <v>55</v>
      </c>
      <c r="O9" s="113" t="s">
        <v>27</v>
      </c>
      <c r="V9" s="234">
        <v>2010</v>
      </c>
      <c r="W9" s="235">
        <v>103159</v>
      </c>
      <c r="X9" s="235" t="s">
        <v>601</v>
      </c>
      <c r="Y9" s="235" t="s">
        <v>391</v>
      </c>
      <c r="Z9" s="236" t="s">
        <v>539</v>
      </c>
      <c r="AA9" s="237" t="s">
        <v>537</v>
      </c>
      <c r="AB9" s="234">
        <v>2010</v>
      </c>
      <c r="AC9" s="235">
        <v>103159</v>
      </c>
      <c r="AD9" s="235" t="s">
        <v>601</v>
      </c>
    </row>
    <row r="10" spans="1:30">
      <c r="A10" s="227" t="s">
        <v>481</v>
      </c>
      <c r="B10" s="125">
        <v>2479</v>
      </c>
      <c r="C10" t="s">
        <v>537</v>
      </c>
      <c r="L10" s="64" t="s">
        <v>57</v>
      </c>
      <c r="M10" s="212" t="s">
        <v>29</v>
      </c>
      <c r="N10" s="212" t="s">
        <v>57</v>
      </c>
      <c r="O10" s="113" t="s">
        <v>29</v>
      </c>
      <c r="V10" s="238">
        <v>5949</v>
      </c>
      <c r="W10" s="168">
        <v>131465</v>
      </c>
      <c r="X10" s="168" t="s">
        <v>605</v>
      </c>
      <c r="Y10" s="168" t="s">
        <v>395</v>
      </c>
      <c r="Z10" s="236" t="s">
        <v>539</v>
      </c>
      <c r="AA10" s="237" t="s">
        <v>537</v>
      </c>
      <c r="AB10" s="238">
        <v>5949</v>
      </c>
      <c r="AC10" s="168">
        <v>131465</v>
      </c>
      <c r="AD10" s="168" t="s">
        <v>605</v>
      </c>
    </row>
    <row r="11" spans="1:30">
      <c r="A11" s="228" t="s">
        <v>332</v>
      </c>
      <c r="B11" s="125">
        <v>2300</v>
      </c>
      <c r="C11" t="s">
        <v>537</v>
      </c>
      <c r="L11" s="64" t="s">
        <v>59</v>
      </c>
      <c r="M11" s="212" t="s">
        <v>284</v>
      </c>
      <c r="N11" s="212" t="s">
        <v>59</v>
      </c>
      <c r="O11" s="113" t="s">
        <v>284</v>
      </c>
      <c r="V11" s="238">
        <v>1017</v>
      </c>
      <c r="W11" s="168">
        <v>103130</v>
      </c>
      <c r="X11" s="168" t="s">
        <v>535</v>
      </c>
      <c r="Y11" s="168" t="s">
        <v>331</v>
      </c>
      <c r="Z11" s="236" t="s">
        <v>536</v>
      </c>
      <c r="AA11" s="237" t="s">
        <v>537</v>
      </c>
      <c r="AB11" s="238">
        <v>1017</v>
      </c>
      <c r="AC11" s="168">
        <v>103130</v>
      </c>
      <c r="AD11" s="168" t="s">
        <v>535</v>
      </c>
    </row>
    <row r="12" spans="1:30">
      <c r="A12" s="227" t="s">
        <v>397</v>
      </c>
      <c r="B12" s="125">
        <v>2014</v>
      </c>
      <c r="C12" t="s">
        <v>537</v>
      </c>
      <c r="L12" s="64" t="s">
        <v>61</v>
      </c>
      <c r="M12" s="212" t="s">
        <v>285</v>
      </c>
      <c r="N12" s="212" t="s">
        <v>61</v>
      </c>
      <c r="O12" s="113" t="s">
        <v>285</v>
      </c>
      <c r="V12" s="238">
        <v>2153</v>
      </c>
      <c r="W12" s="168">
        <v>103243</v>
      </c>
      <c r="X12" s="168" t="s">
        <v>690</v>
      </c>
      <c r="Y12" s="168" t="s">
        <v>480</v>
      </c>
      <c r="Z12" s="236" t="s">
        <v>539</v>
      </c>
      <c r="AA12" s="237" t="s">
        <v>537</v>
      </c>
      <c r="AB12" s="238">
        <v>2153</v>
      </c>
      <c r="AC12" s="168">
        <v>103243</v>
      </c>
      <c r="AD12" s="168" t="s">
        <v>690</v>
      </c>
    </row>
    <row r="13" spans="1:30">
      <c r="A13" s="227" t="s">
        <v>333</v>
      </c>
      <c r="B13" s="125">
        <v>7016</v>
      </c>
      <c r="C13" t="s">
        <v>537</v>
      </c>
      <c r="L13" s="64" t="s">
        <v>63</v>
      </c>
      <c r="M13" s="212" t="s">
        <v>31</v>
      </c>
      <c r="N13" s="212" t="s">
        <v>63</v>
      </c>
      <c r="O13" s="113" t="s">
        <v>31</v>
      </c>
      <c r="V13" s="238">
        <v>2062</v>
      </c>
      <c r="W13" s="168">
        <v>103192</v>
      </c>
      <c r="X13" s="168" t="s">
        <v>606</v>
      </c>
      <c r="Y13" s="168" t="s">
        <v>396</v>
      </c>
      <c r="Z13" s="236" t="s">
        <v>539</v>
      </c>
      <c r="AA13" s="237" t="s">
        <v>537</v>
      </c>
      <c r="AB13" s="238">
        <v>2062</v>
      </c>
      <c r="AC13" s="168">
        <v>103192</v>
      </c>
      <c r="AD13" s="168" t="s">
        <v>606</v>
      </c>
    </row>
    <row r="14" spans="1:30">
      <c r="A14" s="227" t="s">
        <v>398</v>
      </c>
      <c r="B14" s="125">
        <v>7052</v>
      </c>
      <c r="C14" t="s">
        <v>537</v>
      </c>
      <c r="L14" s="64" t="s">
        <v>65</v>
      </c>
      <c r="M14" s="212" t="s">
        <v>33</v>
      </c>
      <c r="N14" s="212" t="s">
        <v>65</v>
      </c>
      <c r="O14" s="113" t="s">
        <v>33</v>
      </c>
      <c r="V14" s="238">
        <v>2479</v>
      </c>
      <c r="W14" s="168">
        <v>132074</v>
      </c>
      <c r="X14" s="168" t="s">
        <v>691</v>
      </c>
      <c r="Y14" s="168" t="s">
        <v>481</v>
      </c>
      <c r="Z14" s="236" t="s">
        <v>539</v>
      </c>
      <c r="AA14" s="237" t="s">
        <v>537</v>
      </c>
      <c r="AB14" s="238">
        <v>2479</v>
      </c>
      <c r="AC14" s="168">
        <v>132074</v>
      </c>
      <c r="AD14" s="168" t="s">
        <v>691</v>
      </c>
    </row>
    <row r="15" spans="1:30">
      <c r="A15" s="228" t="s">
        <v>399</v>
      </c>
      <c r="B15" s="125">
        <v>2017</v>
      </c>
      <c r="C15" t="s">
        <v>537</v>
      </c>
      <c r="L15" s="64" t="s">
        <v>67</v>
      </c>
      <c r="M15" s="212" t="s">
        <v>35</v>
      </c>
      <c r="N15" s="212" t="s">
        <v>67</v>
      </c>
      <c r="O15" s="113" t="s">
        <v>35</v>
      </c>
      <c r="V15" s="238">
        <v>2300</v>
      </c>
      <c r="W15" s="168">
        <v>103324</v>
      </c>
      <c r="X15" s="168" t="s">
        <v>538</v>
      </c>
      <c r="Y15" s="168" t="s">
        <v>332</v>
      </c>
      <c r="Z15" s="236" t="s">
        <v>539</v>
      </c>
      <c r="AA15" s="237" t="s">
        <v>537</v>
      </c>
      <c r="AB15" s="238">
        <v>2300</v>
      </c>
      <c r="AC15" s="168">
        <v>103324</v>
      </c>
      <c r="AD15" s="168" t="s">
        <v>538</v>
      </c>
    </row>
    <row r="16" spans="1:30">
      <c r="A16" s="227" t="s">
        <v>400</v>
      </c>
      <c r="B16" s="125">
        <v>2016</v>
      </c>
      <c r="C16" t="s">
        <v>537</v>
      </c>
      <c r="L16" s="64" t="s">
        <v>69</v>
      </c>
      <c r="M16" s="212" t="s">
        <v>37</v>
      </c>
      <c r="N16" s="212" t="s">
        <v>69</v>
      </c>
      <c r="O16" s="113" t="s">
        <v>37</v>
      </c>
      <c r="V16" s="238">
        <v>7016</v>
      </c>
      <c r="W16" s="168">
        <v>103606</v>
      </c>
      <c r="X16" s="168" t="s">
        <v>540</v>
      </c>
      <c r="Y16" s="168" t="s">
        <v>333</v>
      </c>
      <c r="Z16" s="236" t="s">
        <v>541</v>
      </c>
      <c r="AA16" s="237" t="s">
        <v>537</v>
      </c>
      <c r="AB16" s="238">
        <v>7016</v>
      </c>
      <c r="AC16" s="168">
        <v>103606</v>
      </c>
      <c r="AD16" s="168" t="s">
        <v>540</v>
      </c>
    </row>
    <row r="17" spans="1:30">
      <c r="A17" s="227" t="s">
        <v>482</v>
      </c>
      <c r="B17" s="125">
        <v>2239</v>
      </c>
      <c r="C17" t="s">
        <v>537</v>
      </c>
      <c r="L17" s="64" t="s">
        <v>71</v>
      </c>
      <c r="M17" s="212" t="s">
        <v>39</v>
      </c>
      <c r="N17" s="212" t="s">
        <v>71</v>
      </c>
      <c r="O17" s="113" t="s">
        <v>39</v>
      </c>
      <c r="V17" s="238">
        <v>2017</v>
      </c>
      <c r="W17" s="168">
        <v>103164</v>
      </c>
      <c r="X17" s="168" t="s">
        <v>609</v>
      </c>
      <c r="Y17" s="168" t="s">
        <v>399</v>
      </c>
      <c r="Z17" s="236" t="s">
        <v>539</v>
      </c>
      <c r="AA17" s="237" t="s">
        <v>537</v>
      </c>
      <c r="AB17" s="238">
        <v>2017</v>
      </c>
      <c r="AC17" s="168">
        <v>103164</v>
      </c>
      <c r="AD17" s="168" t="s">
        <v>609</v>
      </c>
    </row>
    <row r="18" spans="1:30">
      <c r="A18" s="227" t="s">
        <v>401</v>
      </c>
      <c r="B18" s="125">
        <v>2241</v>
      </c>
      <c r="C18" t="s">
        <v>537</v>
      </c>
      <c r="L18" s="64" t="s">
        <v>73</v>
      </c>
      <c r="M18" s="212" t="s">
        <v>41</v>
      </c>
      <c r="N18" s="212" t="s">
        <v>73</v>
      </c>
      <c r="O18" s="113" t="s">
        <v>41</v>
      </c>
      <c r="V18" s="238">
        <v>2016</v>
      </c>
      <c r="W18" s="168">
        <v>103163</v>
      </c>
      <c r="X18" s="168" t="s">
        <v>610</v>
      </c>
      <c r="Y18" s="168" t="s">
        <v>400</v>
      </c>
      <c r="Z18" s="236" t="s">
        <v>539</v>
      </c>
      <c r="AA18" s="237" t="s">
        <v>537</v>
      </c>
      <c r="AB18" s="238">
        <v>2016</v>
      </c>
      <c r="AC18" s="168">
        <v>103163</v>
      </c>
      <c r="AD18" s="168" t="s">
        <v>610</v>
      </c>
    </row>
    <row r="19" spans="1:30">
      <c r="A19" s="228" t="s">
        <v>402</v>
      </c>
      <c r="B19" s="125">
        <v>2456</v>
      </c>
      <c r="C19" t="s">
        <v>537</v>
      </c>
      <c r="L19" s="64" t="s">
        <v>75</v>
      </c>
      <c r="M19" s="212" t="s">
        <v>274</v>
      </c>
      <c r="N19" s="212" t="s">
        <v>75</v>
      </c>
      <c r="O19" s="113" t="s">
        <v>274</v>
      </c>
      <c r="V19" s="238">
        <v>2239</v>
      </c>
      <c r="W19" s="168">
        <v>103289</v>
      </c>
      <c r="X19" s="168" t="s">
        <v>692</v>
      </c>
      <c r="Y19" s="168" t="s">
        <v>482</v>
      </c>
      <c r="Z19" s="236" t="s">
        <v>539</v>
      </c>
      <c r="AA19" s="237" t="s">
        <v>537</v>
      </c>
      <c r="AB19" s="238">
        <v>2239</v>
      </c>
      <c r="AC19" s="168">
        <v>103289</v>
      </c>
      <c r="AD19" s="168" t="s">
        <v>692</v>
      </c>
    </row>
    <row r="20" spans="1:30">
      <c r="A20" s="227" t="s">
        <v>334</v>
      </c>
      <c r="B20" s="125">
        <v>5413</v>
      </c>
      <c r="C20" t="s">
        <v>537</v>
      </c>
      <c r="L20" s="64" t="s">
        <v>77</v>
      </c>
      <c r="M20" s="212" t="s">
        <v>275</v>
      </c>
      <c r="N20" s="212" t="s">
        <v>77</v>
      </c>
      <c r="O20" s="113" t="s">
        <v>275</v>
      </c>
      <c r="V20" s="238">
        <v>2241</v>
      </c>
      <c r="W20" s="168">
        <v>103291</v>
      </c>
      <c r="X20" s="168" t="s">
        <v>611</v>
      </c>
      <c r="Y20" s="168" t="s">
        <v>401</v>
      </c>
      <c r="Z20" s="236" t="s">
        <v>539</v>
      </c>
      <c r="AA20" s="237" t="s">
        <v>537</v>
      </c>
      <c r="AB20" s="238">
        <v>2241</v>
      </c>
      <c r="AC20" s="168">
        <v>103291</v>
      </c>
      <c r="AD20" s="168" t="s">
        <v>611</v>
      </c>
    </row>
    <row r="21" spans="1:30">
      <c r="A21" s="227" t="s">
        <v>403</v>
      </c>
      <c r="B21" s="125">
        <v>2254</v>
      </c>
      <c r="C21" t="s">
        <v>537</v>
      </c>
      <c r="L21" s="64" t="s">
        <v>79</v>
      </c>
      <c r="M21" s="212" t="s">
        <v>276</v>
      </c>
      <c r="N21" s="212" t="s">
        <v>79</v>
      </c>
      <c r="O21" s="113" t="s">
        <v>276</v>
      </c>
      <c r="V21" s="238">
        <v>5413</v>
      </c>
      <c r="W21" s="168">
        <v>103560</v>
      </c>
      <c r="X21" s="168" t="s">
        <v>542</v>
      </c>
      <c r="Y21" s="168" t="s">
        <v>334</v>
      </c>
      <c r="Z21" s="236" t="s">
        <v>543</v>
      </c>
      <c r="AA21" s="237" t="s">
        <v>537</v>
      </c>
      <c r="AB21" s="238">
        <v>5413</v>
      </c>
      <c r="AC21" s="168">
        <v>103560</v>
      </c>
      <c r="AD21" s="168" t="s">
        <v>542</v>
      </c>
    </row>
    <row r="22" spans="1:30">
      <c r="A22" s="227" t="s">
        <v>404</v>
      </c>
      <c r="B22" s="125">
        <v>1025</v>
      </c>
      <c r="C22" t="s">
        <v>537</v>
      </c>
      <c r="L22" s="64" t="s">
        <v>81</v>
      </c>
      <c r="M22" s="212" t="s">
        <v>277</v>
      </c>
      <c r="N22" s="212" t="s">
        <v>81</v>
      </c>
      <c r="O22" s="113" t="s">
        <v>277</v>
      </c>
      <c r="V22" s="238">
        <v>1025</v>
      </c>
      <c r="W22" s="168">
        <v>103138</v>
      </c>
      <c r="X22" s="168" t="s">
        <v>614</v>
      </c>
      <c r="Y22" s="168" t="s">
        <v>404</v>
      </c>
      <c r="Z22" s="236" t="s">
        <v>536</v>
      </c>
      <c r="AA22" s="237" t="s">
        <v>537</v>
      </c>
      <c r="AB22" s="238">
        <v>1025</v>
      </c>
      <c r="AC22" s="168">
        <v>103138</v>
      </c>
      <c r="AD22" s="168" t="s">
        <v>614</v>
      </c>
    </row>
    <row r="23" spans="1:30">
      <c r="A23" s="227" t="s">
        <v>335</v>
      </c>
      <c r="B23" s="125">
        <v>2402</v>
      </c>
      <c r="C23" t="s">
        <v>537</v>
      </c>
      <c r="L23" s="64" t="s">
        <v>83</v>
      </c>
      <c r="M23" s="212" t="s">
        <v>131</v>
      </c>
      <c r="N23" s="212" t="s">
        <v>83</v>
      </c>
      <c r="O23" t="s">
        <v>131</v>
      </c>
      <c r="V23" s="238">
        <v>2402</v>
      </c>
      <c r="W23" s="168">
        <v>103342</v>
      </c>
      <c r="X23" s="168" t="s">
        <v>544</v>
      </c>
      <c r="Y23" s="168" t="s">
        <v>335</v>
      </c>
      <c r="Z23" s="236" t="s">
        <v>539</v>
      </c>
      <c r="AA23" s="237" t="s">
        <v>537</v>
      </c>
      <c r="AB23" s="238">
        <v>2402</v>
      </c>
      <c r="AC23" s="168">
        <v>103342</v>
      </c>
      <c r="AD23" s="168" t="s">
        <v>544</v>
      </c>
    </row>
    <row r="24" spans="1:30">
      <c r="A24" s="227" t="s">
        <v>336</v>
      </c>
      <c r="B24" s="125">
        <v>2401</v>
      </c>
      <c r="C24" t="s">
        <v>537</v>
      </c>
      <c r="L24" s="64" t="s">
        <v>85</v>
      </c>
      <c r="M24" s="212" t="s">
        <v>133</v>
      </c>
      <c r="N24" s="212" t="s">
        <v>85</v>
      </c>
      <c r="O24" t="s">
        <v>133</v>
      </c>
      <c r="V24" s="238">
        <v>2401</v>
      </c>
      <c r="W24" s="168">
        <v>103341</v>
      </c>
      <c r="X24" s="168" t="s">
        <v>545</v>
      </c>
      <c r="Y24" s="168" t="s">
        <v>336</v>
      </c>
      <c r="Z24" s="236" t="s">
        <v>539</v>
      </c>
      <c r="AA24" s="237" t="s">
        <v>537</v>
      </c>
      <c r="AB24" s="238">
        <v>2401</v>
      </c>
      <c r="AC24" s="168">
        <v>103341</v>
      </c>
      <c r="AD24" s="168" t="s">
        <v>545</v>
      </c>
    </row>
    <row r="25" spans="1:30">
      <c r="A25" s="228" t="s">
        <v>483</v>
      </c>
      <c r="B25" s="125">
        <v>1001</v>
      </c>
      <c r="C25" t="s">
        <v>537</v>
      </c>
      <c r="L25" s="64" t="s">
        <v>87</v>
      </c>
      <c r="M25" s="212" t="s">
        <v>109</v>
      </c>
      <c r="N25" s="212" t="s">
        <v>87</v>
      </c>
      <c r="O25" t="s">
        <v>109</v>
      </c>
      <c r="V25" s="238">
        <v>4115</v>
      </c>
      <c r="W25" s="168">
        <v>103493</v>
      </c>
      <c r="X25" s="168" t="s">
        <v>546</v>
      </c>
      <c r="Y25" s="168" t="s">
        <v>337</v>
      </c>
      <c r="Z25" s="236" t="s">
        <v>543</v>
      </c>
      <c r="AA25" s="237" t="s">
        <v>537</v>
      </c>
      <c r="AB25" s="238">
        <v>4115</v>
      </c>
      <c r="AC25" s="168">
        <v>103493</v>
      </c>
      <c r="AD25" s="168" t="s">
        <v>546</v>
      </c>
    </row>
    <row r="26" spans="1:30">
      <c r="A26" s="228" t="s">
        <v>337</v>
      </c>
      <c r="B26" s="125">
        <v>4115</v>
      </c>
      <c r="C26" t="s">
        <v>537</v>
      </c>
      <c r="L26" s="64" t="s">
        <v>89</v>
      </c>
      <c r="M26" s="212" t="s">
        <v>111</v>
      </c>
      <c r="N26" s="212" t="s">
        <v>89</v>
      </c>
      <c r="O26" t="s">
        <v>111</v>
      </c>
      <c r="V26" s="238">
        <v>2030</v>
      </c>
      <c r="W26" s="168">
        <v>103172</v>
      </c>
      <c r="X26" s="168" t="s">
        <v>547</v>
      </c>
      <c r="Y26" s="168" t="s">
        <v>338</v>
      </c>
      <c r="Z26" s="236" t="s">
        <v>539</v>
      </c>
      <c r="AA26" s="237" t="s">
        <v>537</v>
      </c>
      <c r="AB26" s="238">
        <v>2030</v>
      </c>
      <c r="AC26" s="168">
        <v>103172</v>
      </c>
      <c r="AD26" s="168" t="s">
        <v>547</v>
      </c>
    </row>
    <row r="27" spans="1:30">
      <c r="A27" s="227" t="s">
        <v>338</v>
      </c>
      <c r="B27" s="125">
        <v>2030</v>
      </c>
      <c r="C27" t="s">
        <v>537</v>
      </c>
      <c r="L27" s="64" t="s">
        <v>91</v>
      </c>
      <c r="M27" s="212" t="s">
        <v>113</v>
      </c>
      <c r="N27" s="212" t="s">
        <v>91</v>
      </c>
      <c r="O27" t="s">
        <v>113</v>
      </c>
      <c r="V27" s="238">
        <v>3353</v>
      </c>
      <c r="W27" s="168">
        <v>103445</v>
      </c>
      <c r="X27" s="168" t="s">
        <v>615</v>
      </c>
      <c r="Y27" s="168" t="s">
        <v>405</v>
      </c>
      <c r="Z27" s="236" t="s">
        <v>539</v>
      </c>
      <c r="AA27" s="237" t="s">
        <v>537</v>
      </c>
      <c r="AB27" s="238">
        <v>3353</v>
      </c>
      <c r="AC27" s="168">
        <v>103445</v>
      </c>
      <c r="AD27" s="168" t="s">
        <v>615</v>
      </c>
    </row>
    <row r="28" spans="1:30">
      <c r="A28" s="227" t="s">
        <v>405</v>
      </c>
      <c r="B28" s="125">
        <v>3353</v>
      </c>
      <c r="C28" t="s">
        <v>537</v>
      </c>
      <c r="L28" s="64" t="s">
        <v>93</v>
      </c>
      <c r="M28" s="213"/>
      <c r="N28" s="212" t="s">
        <v>93</v>
      </c>
      <c r="V28" s="238">
        <v>7030</v>
      </c>
      <c r="W28" s="168">
        <v>103611</v>
      </c>
      <c r="X28" s="168" t="s">
        <v>694</v>
      </c>
      <c r="Y28" s="168" t="s">
        <v>484</v>
      </c>
      <c r="Z28" s="236" t="s">
        <v>541</v>
      </c>
      <c r="AA28" s="237" t="s">
        <v>537</v>
      </c>
      <c r="AB28" s="238">
        <v>7030</v>
      </c>
      <c r="AC28" s="168">
        <v>103611</v>
      </c>
      <c r="AD28" s="168" t="s">
        <v>694</v>
      </c>
    </row>
    <row r="29" spans="1:30">
      <c r="A29" s="228" t="s">
        <v>484</v>
      </c>
      <c r="B29" s="125">
        <v>7030</v>
      </c>
      <c r="C29" t="s">
        <v>537</v>
      </c>
      <c r="L29" s="64" t="s">
        <v>95</v>
      </c>
      <c r="M29" s="213"/>
      <c r="N29" s="64" t="s">
        <v>95</v>
      </c>
      <c r="V29" s="238">
        <v>1002</v>
      </c>
      <c r="W29" s="168">
        <v>103121</v>
      </c>
      <c r="X29" s="168" t="s">
        <v>616</v>
      </c>
      <c r="Y29" s="168" t="s">
        <v>406</v>
      </c>
      <c r="Z29" s="236" t="s">
        <v>536</v>
      </c>
      <c r="AA29" s="237" t="s">
        <v>537</v>
      </c>
      <c r="AB29" s="238">
        <v>1002</v>
      </c>
      <c r="AC29" s="168">
        <v>103121</v>
      </c>
      <c r="AD29" s="168" t="s">
        <v>616</v>
      </c>
    </row>
    <row r="30" spans="1:30">
      <c r="A30" s="228" t="s">
        <v>406</v>
      </c>
      <c r="B30" s="125">
        <v>1002</v>
      </c>
      <c r="C30" t="s">
        <v>537</v>
      </c>
      <c r="L30" s="64" t="s">
        <v>97</v>
      </c>
      <c r="M30" s="213"/>
      <c r="N30" s="64" t="s">
        <v>97</v>
      </c>
      <c r="V30" s="238">
        <v>2465</v>
      </c>
      <c r="W30" s="168">
        <v>103391</v>
      </c>
      <c r="X30" s="168" t="s">
        <v>695</v>
      </c>
      <c r="Y30" s="168" t="s">
        <v>485</v>
      </c>
      <c r="Z30" s="236" t="s">
        <v>539</v>
      </c>
      <c r="AA30" s="237" t="s">
        <v>537</v>
      </c>
      <c r="AB30" s="238">
        <v>2465</v>
      </c>
      <c r="AC30" s="168">
        <v>103391</v>
      </c>
      <c r="AD30" s="168" t="s">
        <v>695</v>
      </c>
    </row>
    <row r="31" spans="1:30">
      <c r="A31" s="227" t="s">
        <v>485</v>
      </c>
      <c r="B31" s="125">
        <v>2465</v>
      </c>
      <c r="C31" t="s">
        <v>537</v>
      </c>
      <c r="L31" s="64" t="s">
        <v>282</v>
      </c>
      <c r="M31" s="213"/>
      <c r="N31" s="64" t="s">
        <v>282</v>
      </c>
      <c r="V31" s="238">
        <v>4801</v>
      </c>
      <c r="W31" s="168">
        <v>103539</v>
      </c>
      <c r="X31" s="168" t="s">
        <v>550</v>
      </c>
      <c r="Y31" s="168" t="s">
        <v>341</v>
      </c>
      <c r="Z31" s="236" t="s">
        <v>543</v>
      </c>
      <c r="AA31" s="237" t="s">
        <v>537</v>
      </c>
      <c r="AB31" s="238">
        <v>4801</v>
      </c>
      <c r="AC31" s="168">
        <v>103539</v>
      </c>
      <c r="AD31" s="168" t="s">
        <v>550</v>
      </c>
    </row>
    <row r="32" spans="1:30">
      <c r="A32" s="228" t="s">
        <v>341</v>
      </c>
      <c r="B32" s="125">
        <v>4801</v>
      </c>
      <c r="C32" t="s">
        <v>537</v>
      </c>
      <c r="L32" s="64" t="s">
        <v>283</v>
      </c>
      <c r="M32" s="213"/>
      <c r="N32" s="64" t="s">
        <v>283</v>
      </c>
      <c r="V32" s="238">
        <v>1048</v>
      </c>
      <c r="W32" s="168">
        <v>103144</v>
      </c>
      <c r="X32" s="168" t="s">
        <v>617</v>
      </c>
      <c r="Y32" s="168" t="s">
        <v>407</v>
      </c>
      <c r="Z32" s="236" t="s">
        <v>536</v>
      </c>
      <c r="AA32" s="237" t="s">
        <v>537</v>
      </c>
      <c r="AB32" s="238">
        <v>1048</v>
      </c>
      <c r="AC32" s="168">
        <v>103144</v>
      </c>
      <c r="AD32" s="168" t="s">
        <v>617</v>
      </c>
    </row>
    <row r="33" spans="1:30">
      <c r="A33" s="228" t="s">
        <v>407</v>
      </c>
      <c r="B33" s="125">
        <v>1048</v>
      </c>
      <c r="C33" t="s">
        <v>537</v>
      </c>
      <c r="L33" s="64" t="s">
        <v>99</v>
      </c>
      <c r="M33" s="213"/>
      <c r="N33" s="64" t="s">
        <v>99</v>
      </c>
      <c r="V33" s="238">
        <v>2312</v>
      </c>
      <c r="W33" s="168">
        <v>103332</v>
      </c>
      <c r="X33" s="168" t="s">
        <v>551</v>
      </c>
      <c r="Y33" s="168" t="s">
        <v>342</v>
      </c>
      <c r="Z33" s="236" t="s">
        <v>539</v>
      </c>
      <c r="AA33" s="237" t="s">
        <v>537</v>
      </c>
      <c r="AB33" s="238">
        <v>2312</v>
      </c>
      <c r="AC33" s="168">
        <v>103332</v>
      </c>
      <c r="AD33" s="168" t="s">
        <v>551</v>
      </c>
    </row>
    <row r="34" spans="1:30">
      <c r="A34" s="227" t="s">
        <v>342</v>
      </c>
      <c r="B34" s="125">
        <v>2312</v>
      </c>
      <c r="C34" t="s">
        <v>537</v>
      </c>
      <c r="L34" s="64" t="s">
        <v>101</v>
      </c>
      <c r="M34" s="213"/>
      <c r="N34" s="64" t="s">
        <v>101</v>
      </c>
      <c r="V34" s="238">
        <v>7051</v>
      </c>
      <c r="W34" s="168">
        <v>103626</v>
      </c>
      <c r="X34" s="168" t="s">
        <v>552</v>
      </c>
      <c r="Y34" s="168" t="s">
        <v>343</v>
      </c>
      <c r="Z34" s="236" t="s">
        <v>541</v>
      </c>
      <c r="AA34" s="237" t="s">
        <v>537</v>
      </c>
      <c r="AB34" s="238">
        <v>7051</v>
      </c>
      <c r="AC34" s="168">
        <v>103626</v>
      </c>
      <c r="AD34" s="168" t="s">
        <v>552</v>
      </c>
    </row>
    <row r="35" spans="1:30">
      <c r="A35" s="227" t="s">
        <v>343</v>
      </c>
      <c r="B35" s="125">
        <v>7051</v>
      </c>
      <c r="C35" t="s">
        <v>537</v>
      </c>
      <c r="L35" s="64" t="s">
        <v>137</v>
      </c>
      <c r="M35" s="213"/>
      <c r="N35" s="64" t="s">
        <v>137</v>
      </c>
      <c r="V35" s="238">
        <v>2040</v>
      </c>
      <c r="W35" s="168">
        <v>103178</v>
      </c>
      <c r="X35" s="168" t="s">
        <v>696</v>
      </c>
      <c r="Y35" s="168" t="s">
        <v>486</v>
      </c>
      <c r="Z35" s="236" t="s">
        <v>539</v>
      </c>
      <c r="AA35" s="237" t="s">
        <v>537</v>
      </c>
      <c r="AB35" s="238">
        <v>2040</v>
      </c>
      <c r="AC35" s="168">
        <v>103178</v>
      </c>
      <c r="AD35" s="168" t="s">
        <v>696</v>
      </c>
    </row>
    <row r="36" spans="1:30">
      <c r="A36" s="227" t="s">
        <v>486</v>
      </c>
      <c r="B36" s="125">
        <v>2040</v>
      </c>
      <c r="C36" t="s">
        <v>537</v>
      </c>
      <c r="L36" s="64" t="s">
        <v>139</v>
      </c>
      <c r="M36" s="213"/>
      <c r="N36" s="64" t="s">
        <v>139</v>
      </c>
      <c r="V36" s="238">
        <v>2251</v>
      </c>
      <c r="W36" s="168">
        <v>103298</v>
      </c>
      <c r="X36" s="168" t="s">
        <v>553</v>
      </c>
      <c r="Y36" s="168" t="s">
        <v>344</v>
      </c>
      <c r="Z36" s="236" t="s">
        <v>539</v>
      </c>
      <c r="AA36" s="237" t="s">
        <v>537</v>
      </c>
      <c r="AB36" s="238">
        <v>2251</v>
      </c>
      <c r="AC36" s="168">
        <v>103298</v>
      </c>
      <c r="AD36" s="168" t="s">
        <v>553</v>
      </c>
    </row>
    <row r="37" spans="1:30">
      <c r="A37" s="228" t="s">
        <v>344</v>
      </c>
      <c r="B37" s="125">
        <v>2251</v>
      </c>
      <c r="C37" t="s">
        <v>537</v>
      </c>
      <c r="L37" s="64" t="s">
        <v>117</v>
      </c>
      <c r="M37" s="213"/>
      <c r="N37" s="64" t="s">
        <v>117</v>
      </c>
      <c r="V37" s="238">
        <v>3002</v>
      </c>
      <c r="W37" s="168">
        <v>103397</v>
      </c>
      <c r="X37" s="168" t="s">
        <v>554</v>
      </c>
      <c r="Y37" s="168" t="s">
        <v>345</v>
      </c>
      <c r="Z37" s="236" t="s">
        <v>539</v>
      </c>
      <c r="AA37" s="237" t="s">
        <v>537</v>
      </c>
      <c r="AB37" s="238">
        <v>3002</v>
      </c>
      <c r="AC37" s="168">
        <v>103397</v>
      </c>
      <c r="AD37" s="168" t="s">
        <v>554</v>
      </c>
    </row>
    <row r="38" spans="1:30">
      <c r="A38" s="228" t="s">
        <v>345</v>
      </c>
      <c r="B38" s="125">
        <v>3002</v>
      </c>
      <c r="C38" t="s">
        <v>537</v>
      </c>
      <c r="L38" s="64" t="s">
        <v>119</v>
      </c>
      <c r="M38" s="213"/>
      <c r="N38" s="64" t="s">
        <v>119</v>
      </c>
      <c r="V38" s="238">
        <v>3319</v>
      </c>
      <c r="W38" s="168">
        <v>103423</v>
      </c>
      <c r="X38" s="168" t="s">
        <v>555</v>
      </c>
      <c r="Y38" s="168" t="s">
        <v>346</v>
      </c>
      <c r="Z38" s="236" t="s">
        <v>539</v>
      </c>
      <c r="AA38" s="237" t="s">
        <v>537</v>
      </c>
      <c r="AB38" s="238">
        <v>3319</v>
      </c>
      <c r="AC38" s="168">
        <v>103423</v>
      </c>
      <c r="AD38" s="168" t="s">
        <v>555</v>
      </c>
    </row>
    <row r="39" spans="1:30">
      <c r="A39" s="227" t="s">
        <v>346</v>
      </c>
      <c r="B39" s="125">
        <v>3319</v>
      </c>
      <c r="C39" t="s">
        <v>537</v>
      </c>
      <c r="L39" s="64" t="s">
        <v>121</v>
      </c>
      <c r="M39" s="213"/>
      <c r="N39" s="64" t="s">
        <v>121</v>
      </c>
      <c r="V39" s="238">
        <v>1100</v>
      </c>
      <c r="W39" s="168">
        <v>103146</v>
      </c>
      <c r="X39" s="168" t="s">
        <v>697</v>
      </c>
      <c r="Y39" s="168" t="s">
        <v>487</v>
      </c>
      <c r="Z39" s="236" t="s">
        <v>698</v>
      </c>
      <c r="AA39" s="237" t="s">
        <v>537</v>
      </c>
      <c r="AB39" s="238">
        <v>1100</v>
      </c>
      <c r="AC39" s="168">
        <v>103146</v>
      </c>
      <c r="AD39" s="168" t="s">
        <v>697</v>
      </c>
    </row>
    <row r="40" spans="1:30">
      <c r="A40" s="228" t="s">
        <v>487</v>
      </c>
      <c r="B40" s="125">
        <v>1100</v>
      </c>
      <c r="C40" t="s">
        <v>537</v>
      </c>
      <c r="L40" s="64" t="s">
        <v>123</v>
      </c>
      <c r="M40" s="213"/>
      <c r="N40" s="64" t="s">
        <v>123</v>
      </c>
      <c r="V40" s="238">
        <v>3432</v>
      </c>
      <c r="W40" s="168">
        <v>134840</v>
      </c>
      <c r="X40" s="168" t="s">
        <v>699</v>
      </c>
      <c r="Y40" s="168" t="s">
        <v>488</v>
      </c>
      <c r="Z40" s="236" t="s">
        <v>539</v>
      </c>
      <c r="AA40" s="237" t="s">
        <v>537</v>
      </c>
      <c r="AB40" s="238">
        <v>3432</v>
      </c>
      <c r="AC40" s="168">
        <v>134840</v>
      </c>
      <c r="AD40" s="168" t="s">
        <v>699</v>
      </c>
    </row>
    <row r="41" spans="1:30">
      <c r="A41" s="227" t="s">
        <v>488</v>
      </c>
      <c r="B41" s="125">
        <v>3432</v>
      </c>
      <c r="C41" t="s">
        <v>537</v>
      </c>
      <c r="L41" s="64"/>
      <c r="M41" s="35"/>
      <c r="N41" s="214"/>
      <c r="V41" s="238">
        <v>2289</v>
      </c>
      <c r="W41" s="168">
        <v>103315</v>
      </c>
      <c r="X41" s="168" t="s">
        <v>618</v>
      </c>
      <c r="Y41" s="168" t="s">
        <v>408</v>
      </c>
      <c r="Z41" s="236" t="s">
        <v>539</v>
      </c>
      <c r="AA41" s="237" t="s">
        <v>537</v>
      </c>
      <c r="AB41" s="238">
        <v>2289</v>
      </c>
      <c r="AC41" s="168">
        <v>103315</v>
      </c>
      <c r="AD41" s="168" t="s">
        <v>618</v>
      </c>
    </row>
    <row r="42" spans="1:30">
      <c r="A42" s="228" t="s">
        <v>408</v>
      </c>
      <c r="B42" s="125">
        <v>2289</v>
      </c>
      <c r="C42" t="s">
        <v>537</v>
      </c>
      <c r="L42" s="64"/>
      <c r="M42" s="35"/>
      <c r="N42" s="214"/>
      <c r="V42" s="238">
        <v>2185</v>
      </c>
      <c r="W42" s="168">
        <v>103263</v>
      </c>
      <c r="X42" s="168" t="s">
        <v>700</v>
      </c>
      <c r="Y42" s="168" t="s">
        <v>489</v>
      </c>
      <c r="Z42" s="236" t="s">
        <v>539</v>
      </c>
      <c r="AA42" s="237" t="s">
        <v>537</v>
      </c>
      <c r="AB42" s="238">
        <v>2185</v>
      </c>
      <c r="AC42" s="168">
        <v>103263</v>
      </c>
      <c r="AD42" s="168" t="s">
        <v>700</v>
      </c>
    </row>
    <row r="43" spans="1:30">
      <c r="A43" s="228" t="s">
        <v>489</v>
      </c>
      <c r="B43" s="125">
        <v>2185</v>
      </c>
      <c r="C43" t="s">
        <v>537</v>
      </c>
      <c r="L43" s="64"/>
      <c r="M43" s="35"/>
      <c r="N43" s="214"/>
      <c r="V43" s="238">
        <v>5416</v>
      </c>
      <c r="W43" s="168">
        <v>103563</v>
      </c>
      <c r="X43" s="168" t="s">
        <v>556</v>
      </c>
      <c r="Y43" s="168" t="s">
        <v>347</v>
      </c>
      <c r="Z43" s="236" t="s">
        <v>543</v>
      </c>
      <c r="AA43" s="237" t="s">
        <v>537</v>
      </c>
      <c r="AB43" s="238">
        <v>5416</v>
      </c>
      <c r="AC43" s="168">
        <v>103563</v>
      </c>
      <c r="AD43" s="168" t="s">
        <v>556</v>
      </c>
    </row>
    <row r="44" spans="1:30">
      <c r="A44" s="227" t="s">
        <v>347</v>
      </c>
      <c r="B44" s="125">
        <v>5416</v>
      </c>
      <c r="C44" t="s">
        <v>537</v>
      </c>
      <c r="L44" s="64"/>
      <c r="M44" s="35"/>
      <c r="N44" s="214"/>
      <c r="V44" s="238">
        <v>2054</v>
      </c>
      <c r="W44" s="168">
        <v>103189</v>
      </c>
      <c r="X44" s="168" t="s">
        <v>557</v>
      </c>
      <c r="Y44" s="168" t="s">
        <v>348</v>
      </c>
      <c r="Z44" s="236" t="s">
        <v>539</v>
      </c>
      <c r="AA44" s="237" t="s">
        <v>537</v>
      </c>
      <c r="AB44" s="238">
        <v>2054</v>
      </c>
      <c r="AC44" s="168">
        <v>103189</v>
      </c>
      <c r="AD44" s="168" t="s">
        <v>557</v>
      </c>
    </row>
    <row r="45" spans="1:30">
      <c r="A45" s="228" t="s">
        <v>348</v>
      </c>
      <c r="B45" s="125">
        <v>2054</v>
      </c>
      <c r="C45" t="s">
        <v>537</v>
      </c>
      <c r="L45" s="64"/>
      <c r="M45" s="35"/>
      <c r="N45" s="214"/>
      <c r="V45" s="238">
        <v>2053</v>
      </c>
      <c r="W45" s="168">
        <v>103188</v>
      </c>
      <c r="X45" s="168" t="s">
        <v>558</v>
      </c>
      <c r="Y45" s="168" t="s">
        <v>349</v>
      </c>
      <c r="Z45" s="236" t="s">
        <v>539</v>
      </c>
      <c r="AA45" s="237" t="s">
        <v>537</v>
      </c>
      <c r="AB45" s="238">
        <v>2053</v>
      </c>
      <c r="AC45" s="168">
        <v>103188</v>
      </c>
      <c r="AD45" s="168" t="s">
        <v>558</v>
      </c>
    </row>
    <row r="46" spans="1:30">
      <c r="A46" s="228" t="s">
        <v>349</v>
      </c>
      <c r="B46" s="125">
        <v>2053</v>
      </c>
      <c r="C46" t="s">
        <v>537</v>
      </c>
      <c r="L46" s="64"/>
      <c r="M46" s="35"/>
      <c r="N46" s="214"/>
      <c r="V46" s="238">
        <v>3320</v>
      </c>
      <c r="W46" s="168">
        <v>103424</v>
      </c>
      <c r="X46" s="168" t="s">
        <v>619</v>
      </c>
      <c r="Y46" s="168" t="s">
        <v>409</v>
      </c>
      <c r="Z46" s="236" t="s">
        <v>539</v>
      </c>
      <c r="AA46" s="237" t="s">
        <v>537</v>
      </c>
      <c r="AB46" s="238">
        <v>3320</v>
      </c>
      <c r="AC46" s="168">
        <v>103424</v>
      </c>
      <c r="AD46" s="168" t="s">
        <v>619</v>
      </c>
    </row>
    <row r="47" spans="1:30">
      <c r="A47" s="228" t="s">
        <v>490</v>
      </c>
      <c r="B47" s="125">
        <v>2464</v>
      </c>
      <c r="C47" t="s">
        <v>537</v>
      </c>
      <c r="L47" s="64"/>
      <c r="M47" s="35"/>
      <c r="N47" s="214"/>
      <c r="V47" s="238">
        <v>2055</v>
      </c>
      <c r="W47" s="168">
        <v>103190</v>
      </c>
      <c r="X47" s="168" t="s">
        <v>559</v>
      </c>
      <c r="Y47" s="168" t="s">
        <v>350</v>
      </c>
      <c r="Z47" s="236" t="s">
        <v>539</v>
      </c>
      <c r="AA47" s="237" t="s">
        <v>537</v>
      </c>
      <c r="AB47" s="238">
        <v>2055</v>
      </c>
      <c r="AC47" s="168">
        <v>103190</v>
      </c>
      <c r="AD47" s="168" t="s">
        <v>559</v>
      </c>
    </row>
    <row r="48" spans="1:30">
      <c r="A48" s="227" t="s">
        <v>409</v>
      </c>
      <c r="B48" s="125">
        <v>3320</v>
      </c>
      <c r="C48" t="s">
        <v>537</v>
      </c>
      <c r="L48" s="64"/>
      <c r="M48" s="35"/>
      <c r="N48" s="214"/>
      <c r="V48" s="238">
        <v>2454</v>
      </c>
      <c r="W48" s="168">
        <v>103381</v>
      </c>
      <c r="X48" s="168" t="s">
        <v>702</v>
      </c>
      <c r="Y48" s="168" t="s">
        <v>491</v>
      </c>
      <c r="Z48" s="236" t="s">
        <v>539</v>
      </c>
      <c r="AA48" s="237" t="s">
        <v>537</v>
      </c>
      <c r="AB48" s="238">
        <v>2454</v>
      </c>
      <c r="AC48" s="168">
        <v>103381</v>
      </c>
      <c r="AD48" s="168" t="s">
        <v>702</v>
      </c>
    </row>
    <row r="49" spans="1:30">
      <c r="A49" s="227" t="s">
        <v>350</v>
      </c>
      <c r="B49" s="125">
        <v>2055</v>
      </c>
      <c r="C49" t="s">
        <v>537</v>
      </c>
      <c r="L49" s="64"/>
      <c r="M49" s="35"/>
      <c r="N49" s="214"/>
      <c r="V49" s="238">
        <v>3321</v>
      </c>
      <c r="W49" s="168">
        <v>103425</v>
      </c>
      <c r="X49" s="168" t="s">
        <v>703</v>
      </c>
      <c r="Y49" s="168" t="s">
        <v>492</v>
      </c>
      <c r="Z49" s="236" t="s">
        <v>539</v>
      </c>
      <c r="AA49" s="237" t="s">
        <v>537</v>
      </c>
      <c r="AB49" s="238">
        <v>3321</v>
      </c>
      <c r="AC49" s="168">
        <v>103425</v>
      </c>
      <c r="AD49" s="168" t="s">
        <v>703</v>
      </c>
    </row>
    <row r="50" spans="1:30">
      <c r="A50" s="227" t="s">
        <v>394</v>
      </c>
      <c r="B50" s="125">
        <v>1802</v>
      </c>
      <c r="C50" t="s">
        <v>537</v>
      </c>
      <c r="L50" s="64"/>
      <c r="M50" s="35"/>
      <c r="N50" s="214"/>
      <c r="V50" s="238">
        <v>1026</v>
      </c>
      <c r="W50" s="168">
        <v>103139</v>
      </c>
      <c r="X50" s="168" t="s">
        <v>620</v>
      </c>
      <c r="Y50" s="168" t="s">
        <v>410</v>
      </c>
      <c r="Z50" s="236" t="s">
        <v>536</v>
      </c>
      <c r="AA50" s="237" t="s">
        <v>537</v>
      </c>
      <c r="AB50" s="238">
        <v>1026</v>
      </c>
      <c r="AC50" s="168">
        <v>103139</v>
      </c>
      <c r="AD50" s="168" t="s">
        <v>620</v>
      </c>
    </row>
    <row r="51" spans="1:30">
      <c r="A51" s="227" t="s">
        <v>491</v>
      </c>
      <c r="B51" s="125">
        <v>2454</v>
      </c>
      <c r="C51" t="s">
        <v>537</v>
      </c>
      <c r="L51" s="64"/>
      <c r="M51" s="35"/>
      <c r="N51" s="214"/>
      <c r="V51" s="238">
        <v>2294</v>
      </c>
      <c r="W51" s="168">
        <v>103318</v>
      </c>
      <c r="X51" s="168" t="s">
        <v>621</v>
      </c>
      <c r="Y51" s="168" t="s">
        <v>411</v>
      </c>
      <c r="Z51" s="236" t="s">
        <v>539</v>
      </c>
      <c r="AA51" s="237" t="s">
        <v>537</v>
      </c>
      <c r="AB51" s="238">
        <v>2294</v>
      </c>
      <c r="AC51" s="168">
        <v>103318</v>
      </c>
      <c r="AD51" s="168" t="s">
        <v>621</v>
      </c>
    </row>
    <row r="52" spans="1:30">
      <c r="A52" s="228" t="s">
        <v>492</v>
      </c>
      <c r="B52" s="125">
        <v>3321</v>
      </c>
      <c r="C52" t="s">
        <v>537</v>
      </c>
      <c r="L52" s="64"/>
      <c r="V52" s="238">
        <v>2486</v>
      </c>
      <c r="W52" s="168">
        <v>133759</v>
      </c>
      <c r="X52" s="168" t="s">
        <v>560</v>
      </c>
      <c r="Y52" s="168" t="s">
        <v>351</v>
      </c>
      <c r="Z52" s="236" t="s">
        <v>539</v>
      </c>
      <c r="AA52" s="237" t="s">
        <v>537</v>
      </c>
      <c r="AB52" s="238">
        <v>2486</v>
      </c>
      <c r="AC52" s="168">
        <v>133759</v>
      </c>
      <c r="AD52" s="168" t="s">
        <v>560</v>
      </c>
    </row>
    <row r="53" spans="1:30">
      <c r="A53" s="227" t="s">
        <v>410</v>
      </c>
      <c r="B53" s="125">
        <v>1026</v>
      </c>
      <c r="C53" t="s">
        <v>537</v>
      </c>
      <c r="L53" s="64"/>
      <c r="V53" s="238">
        <v>3435</v>
      </c>
      <c r="W53" s="168">
        <v>131920</v>
      </c>
      <c r="X53" s="168" t="s">
        <v>704</v>
      </c>
      <c r="Y53" s="168" t="s">
        <v>493</v>
      </c>
      <c r="Z53" s="236" t="s">
        <v>539</v>
      </c>
      <c r="AA53" s="237" t="s">
        <v>537</v>
      </c>
      <c r="AB53" s="238">
        <v>3435</v>
      </c>
      <c r="AC53" s="168">
        <v>131920</v>
      </c>
      <c r="AD53" s="168" t="s">
        <v>704</v>
      </c>
    </row>
    <row r="54" spans="1:30">
      <c r="A54" s="228" t="s">
        <v>411</v>
      </c>
      <c r="B54" s="125">
        <v>2294</v>
      </c>
      <c r="C54" t="s">
        <v>537</v>
      </c>
      <c r="L54" s="64"/>
      <c r="V54" s="238">
        <v>7050</v>
      </c>
      <c r="W54" s="168">
        <v>103625</v>
      </c>
      <c r="X54" s="168" t="s">
        <v>705</v>
      </c>
      <c r="Y54" s="168" t="s">
        <v>494</v>
      </c>
      <c r="Z54" s="236" t="s">
        <v>541</v>
      </c>
      <c r="AA54" s="237" t="s">
        <v>537</v>
      </c>
      <c r="AB54" s="238">
        <v>7050</v>
      </c>
      <c r="AC54" s="168">
        <v>103625</v>
      </c>
      <c r="AD54" s="168" t="s">
        <v>705</v>
      </c>
    </row>
    <row r="55" spans="1:30">
      <c r="A55" s="228" t="s">
        <v>351</v>
      </c>
      <c r="B55" s="125">
        <v>2486</v>
      </c>
      <c r="C55" t="s">
        <v>537</v>
      </c>
      <c r="L55" s="64"/>
      <c r="V55" s="238">
        <v>1006</v>
      </c>
      <c r="W55" s="168">
        <v>103122</v>
      </c>
      <c r="X55" s="168" t="s">
        <v>622</v>
      </c>
      <c r="Y55" s="168" t="s">
        <v>412</v>
      </c>
      <c r="Z55" s="236" t="s">
        <v>536</v>
      </c>
      <c r="AA55" s="237" t="s">
        <v>537</v>
      </c>
      <c r="AB55" s="238">
        <v>1006</v>
      </c>
      <c r="AC55" s="168">
        <v>103122</v>
      </c>
      <c r="AD55" s="168" t="s">
        <v>622</v>
      </c>
    </row>
    <row r="56" spans="1:30">
      <c r="A56" s="228" t="s">
        <v>493</v>
      </c>
      <c r="B56" s="125">
        <v>3435</v>
      </c>
      <c r="C56" t="s">
        <v>537</v>
      </c>
      <c r="L56" s="64"/>
      <c r="V56" s="238">
        <v>2081</v>
      </c>
      <c r="W56" s="168">
        <v>103201</v>
      </c>
      <c r="X56" s="168" t="s">
        <v>706</v>
      </c>
      <c r="Y56" s="168" t="s">
        <v>495</v>
      </c>
      <c r="Z56" s="236" t="s">
        <v>539</v>
      </c>
      <c r="AA56" s="237" t="s">
        <v>537</v>
      </c>
      <c r="AB56" s="238">
        <v>2081</v>
      </c>
      <c r="AC56" s="168">
        <v>103201</v>
      </c>
      <c r="AD56" s="168" t="s">
        <v>706</v>
      </c>
    </row>
    <row r="57" spans="1:30">
      <c r="A57" s="227" t="s">
        <v>494</v>
      </c>
      <c r="B57" s="125">
        <v>7050</v>
      </c>
      <c r="C57" t="s">
        <v>537</v>
      </c>
      <c r="L57" s="64"/>
      <c r="V57" s="238">
        <v>2296</v>
      </c>
      <c r="W57" s="168">
        <v>103320</v>
      </c>
      <c r="X57" s="168" t="s">
        <v>561</v>
      </c>
      <c r="Y57" s="168" t="s">
        <v>352</v>
      </c>
      <c r="Z57" s="236" t="s">
        <v>539</v>
      </c>
      <c r="AA57" s="237" t="s">
        <v>798</v>
      </c>
      <c r="AB57" s="238">
        <v>2296</v>
      </c>
      <c r="AC57" s="168">
        <v>103320</v>
      </c>
      <c r="AD57" s="168" t="s">
        <v>561</v>
      </c>
    </row>
    <row r="58" spans="1:30">
      <c r="A58" s="227" t="s">
        <v>412</v>
      </c>
      <c r="B58" s="125">
        <v>1006</v>
      </c>
      <c r="C58" t="s">
        <v>537</v>
      </c>
      <c r="L58" s="64"/>
      <c r="V58" s="238">
        <v>1015</v>
      </c>
      <c r="W58" s="168">
        <v>103128</v>
      </c>
      <c r="X58" s="168" t="s">
        <v>624</v>
      </c>
      <c r="Y58" s="168" t="s">
        <v>414</v>
      </c>
      <c r="Z58" s="236" t="s">
        <v>536</v>
      </c>
      <c r="AA58" s="237" t="s">
        <v>537</v>
      </c>
      <c r="AB58" s="238">
        <v>1015</v>
      </c>
      <c r="AC58" s="168">
        <v>103128</v>
      </c>
      <c r="AD58" s="168" t="s">
        <v>624</v>
      </c>
    </row>
    <row r="59" spans="1:30">
      <c r="A59" s="228" t="s">
        <v>413</v>
      </c>
      <c r="B59" s="125">
        <v>2079</v>
      </c>
      <c r="C59" t="s">
        <v>537</v>
      </c>
      <c r="V59" s="238">
        <v>1022</v>
      </c>
      <c r="W59" s="168">
        <v>103135</v>
      </c>
      <c r="X59" s="168" t="s">
        <v>625</v>
      </c>
      <c r="Y59" s="168" t="s">
        <v>415</v>
      </c>
      <c r="Z59" s="236" t="s">
        <v>536</v>
      </c>
      <c r="AA59" s="237" t="s">
        <v>537</v>
      </c>
      <c r="AB59" s="238">
        <v>1022</v>
      </c>
      <c r="AC59" s="168">
        <v>103135</v>
      </c>
      <c r="AD59" s="168" t="s">
        <v>625</v>
      </c>
    </row>
    <row r="60" spans="1:30">
      <c r="A60" s="227" t="s">
        <v>495</v>
      </c>
      <c r="B60" s="125">
        <v>2081</v>
      </c>
      <c r="C60" t="s">
        <v>537</v>
      </c>
      <c r="V60" s="238">
        <v>2087</v>
      </c>
      <c r="W60" s="168">
        <v>103205</v>
      </c>
      <c r="X60" s="168" t="s">
        <v>626</v>
      </c>
      <c r="Y60" s="168" t="s">
        <v>416</v>
      </c>
      <c r="Z60" s="236" t="s">
        <v>539</v>
      </c>
      <c r="AA60" s="237" t="s">
        <v>537</v>
      </c>
      <c r="AB60" s="238">
        <v>2087</v>
      </c>
      <c r="AC60" s="168">
        <v>103205</v>
      </c>
      <c r="AD60" s="168" t="s">
        <v>626</v>
      </c>
    </row>
    <row r="61" spans="1:30">
      <c r="A61" s="227" t="s">
        <v>352</v>
      </c>
      <c r="B61" s="125">
        <v>2296</v>
      </c>
      <c r="C61" t="s">
        <v>798</v>
      </c>
      <c r="V61" s="238">
        <v>2466</v>
      </c>
      <c r="W61" s="168">
        <v>103392</v>
      </c>
      <c r="X61" s="168" t="s">
        <v>627</v>
      </c>
      <c r="Y61" s="168" t="s">
        <v>417</v>
      </c>
      <c r="Z61" s="236" t="s">
        <v>539</v>
      </c>
      <c r="AA61" s="237" t="s">
        <v>537</v>
      </c>
      <c r="AB61" s="238">
        <v>2466</v>
      </c>
      <c r="AC61" s="168">
        <v>103392</v>
      </c>
      <c r="AD61" s="168" t="s">
        <v>627</v>
      </c>
    </row>
    <row r="62" spans="1:30">
      <c r="A62" s="227" t="s">
        <v>414</v>
      </c>
      <c r="B62" s="125">
        <v>1015</v>
      </c>
      <c r="C62" t="s">
        <v>537</v>
      </c>
      <c r="V62" s="238">
        <v>2093</v>
      </c>
      <c r="W62" s="168">
        <v>103210</v>
      </c>
      <c r="X62" s="168" t="s">
        <v>707</v>
      </c>
      <c r="Y62" s="168" t="s">
        <v>496</v>
      </c>
      <c r="Z62" s="236" t="s">
        <v>539</v>
      </c>
      <c r="AA62" s="237" t="s">
        <v>537</v>
      </c>
      <c r="AB62" s="238">
        <v>2093</v>
      </c>
      <c r="AC62" s="168">
        <v>103210</v>
      </c>
      <c r="AD62" s="168" t="s">
        <v>707</v>
      </c>
    </row>
    <row r="63" spans="1:30">
      <c r="A63" s="227" t="s">
        <v>415</v>
      </c>
      <c r="B63" s="125">
        <v>1022</v>
      </c>
      <c r="C63" t="s">
        <v>537</v>
      </c>
      <c r="V63" s="238">
        <v>2092</v>
      </c>
      <c r="W63" s="168">
        <v>103209</v>
      </c>
      <c r="X63" s="168" t="s">
        <v>562</v>
      </c>
      <c r="Y63" s="168" t="s">
        <v>353</v>
      </c>
      <c r="Z63" s="236" t="s">
        <v>539</v>
      </c>
      <c r="AA63" s="237" t="s">
        <v>537</v>
      </c>
      <c r="AB63" s="238">
        <v>2092</v>
      </c>
      <c r="AC63" s="168">
        <v>103209</v>
      </c>
      <c r="AD63" s="168" t="s">
        <v>562</v>
      </c>
    </row>
    <row r="64" spans="1:30">
      <c r="A64" s="227" t="s">
        <v>416</v>
      </c>
      <c r="B64" s="125">
        <v>2087</v>
      </c>
      <c r="C64" t="s">
        <v>537</v>
      </c>
      <c r="V64" s="238">
        <v>7006</v>
      </c>
      <c r="W64" s="168">
        <v>103600</v>
      </c>
      <c r="X64" s="168" t="s">
        <v>629</v>
      </c>
      <c r="Y64" s="168" t="s">
        <v>419</v>
      </c>
      <c r="Z64" s="236" t="s">
        <v>541</v>
      </c>
      <c r="AA64" s="237" t="s">
        <v>537</v>
      </c>
      <c r="AB64" s="238">
        <v>7006</v>
      </c>
      <c r="AC64" s="168">
        <v>103600</v>
      </c>
      <c r="AD64" s="168" t="s">
        <v>629</v>
      </c>
    </row>
    <row r="65" spans="1:30">
      <c r="A65" s="227" t="s">
        <v>417</v>
      </c>
      <c r="B65" s="125">
        <v>2466</v>
      </c>
      <c r="C65" t="s">
        <v>537</v>
      </c>
      <c r="V65" s="238">
        <v>2099</v>
      </c>
      <c r="W65" s="168">
        <v>103214</v>
      </c>
      <c r="X65" s="168" t="s">
        <v>708</v>
      </c>
      <c r="Y65" s="168" t="s">
        <v>497</v>
      </c>
      <c r="Z65" s="236" t="s">
        <v>539</v>
      </c>
      <c r="AA65" s="237" t="s">
        <v>537</v>
      </c>
      <c r="AB65" s="238">
        <v>2099</v>
      </c>
      <c r="AC65" s="168">
        <v>103214</v>
      </c>
      <c r="AD65" s="168" t="s">
        <v>708</v>
      </c>
    </row>
    <row r="66" spans="1:30">
      <c r="A66" s="227" t="s">
        <v>418</v>
      </c>
      <c r="B66" s="125">
        <v>2091</v>
      </c>
      <c r="C66" t="s">
        <v>537</v>
      </c>
      <c r="V66" s="238">
        <v>1010</v>
      </c>
      <c r="W66" s="168">
        <v>103125</v>
      </c>
      <c r="X66" s="168" t="s">
        <v>632</v>
      </c>
      <c r="Y66" s="168" t="s">
        <v>422</v>
      </c>
      <c r="Z66" s="236" t="s">
        <v>536</v>
      </c>
      <c r="AA66" s="237" t="s">
        <v>537</v>
      </c>
      <c r="AB66" s="238">
        <v>1010</v>
      </c>
      <c r="AC66" s="168">
        <v>103125</v>
      </c>
      <c r="AD66" s="168" t="s">
        <v>632</v>
      </c>
    </row>
    <row r="67" spans="1:30">
      <c r="A67" s="227" t="s">
        <v>496</v>
      </c>
      <c r="B67" s="125">
        <v>2093</v>
      </c>
      <c r="C67" t="s">
        <v>537</v>
      </c>
      <c r="V67" s="238">
        <v>1021</v>
      </c>
      <c r="W67" s="168">
        <v>103134</v>
      </c>
      <c r="X67" s="168" t="s">
        <v>602</v>
      </c>
      <c r="Y67" s="168" t="s">
        <v>392</v>
      </c>
      <c r="Z67" s="236" t="s">
        <v>536</v>
      </c>
      <c r="AA67" s="237" t="s">
        <v>537</v>
      </c>
      <c r="AB67" s="238">
        <v>1021</v>
      </c>
      <c r="AC67" s="168">
        <v>103134</v>
      </c>
      <c r="AD67" s="168" t="s">
        <v>602</v>
      </c>
    </row>
    <row r="68" spans="1:30">
      <c r="A68" s="227" t="s">
        <v>353</v>
      </c>
      <c r="B68" s="125">
        <v>2092</v>
      </c>
      <c r="C68" t="s">
        <v>537</v>
      </c>
      <c r="V68" s="238">
        <v>4201</v>
      </c>
      <c r="W68" s="168">
        <v>103503</v>
      </c>
      <c r="X68" s="168" t="s">
        <v>563</v>
      </c>
      <c r="Y68" s="168" t="s">
        <v>354</v>
      </c>
      <c r="Z68" s="236" t="s">
        <v>543</v>
      </c>
      <c r="AA68" s="237" t="s">
        <v>537</v>
      </c>
      <c r="AB68" s="238">
        <v>4201</v>
      </c>
      <c r="AC68" s="168">
        <v>103503</v>
      </c>
      <c r="AD68" s="168" t="s">
        <v>563</v>
      </c>
    </row>
    <row r="69" spans="1:30">
      <c r="A69" s="228" t="s">
        <v>419</v>
      </c>
      <c r="B69" s="125">
        <v>7006</v>
      </c>
      <c r="C69" t="s">
        <v>537</v>
      </c>
      <c r="V69" s="238">
        <v>4015</v>
      </c>
      <c r="W69" s="168">
        <v>103483</v>
      </c>
      <c r="X69" s="168" t="s">
        <v>564</v>
      </c>
      <c r="Y69" s="168" t="s">
        <v>355</v>
      </c>
      <c r="Z69" s="236" t="s">
        <v>543</v>
      </c>
      <c r="AA69" s="237" t="s">
        <v>537</v>
      </c>
      <c r="AB69" s="238">
        <v>4015</v>
      </c>
      <c r="AC69" s="168">
        <v>103483</v>
      </c>
      <c r="AD69" s="168" t="s">
        <v>564</v>
      </c>
    </row>
    <row r="70" spans="1:30">
      <c r="A70" s="227" t="s">
        <v>420</v>
      </c>
      <c r="B70" s="125">
        <v>2477</v>
      </c>
      <c r="C70" t="s">
        <v>537</v>
      </c>
      <c r="V70" s="238">
        <v>3411</v>
      </c>
      <c r="W70" s="168">
        <v>103479</v>
      </c>
      <c r="X70" s="168" t="s">
        <v>633</v>
      </c>
      <c r="Y70" s="168" t="s">
        <v>423</v>
      </c>
      <c r="Z70" s="236" t="s">
        <v>539</v>
      </c>
      <c r="AA70" s="237" t="s">
        <v>537</v>
      </c>
      <c r="AB70" s="238">
        <v>3411</v>
      </c>
      <c r="AC70" s="168">
        <v>103479</v>
      </c>
      <c r="AD70" s="168" t="s">
        <v>633</v>
      </c>
    </row>
    <row r="71" spans="1:30">
      <c r="A71" s="227" t="s">
        <v>421</v>
      </c>
      <c r="B71" s="125">
        <v>3436</v>
      </c>
      <c r="C71" t="s">
        <v>537</v>
      </c>
      <c r="V71" s="238">
        <v>4223</v>
      </c>
      <c r="W71" s="168">
        <v>103509</v>
      </c>
      <c r="X71" s="168" t="s">
        <v>565</v>
      </c>
      <c r="Y71" s="168" t="s">
        <v>356</v>
      </c>
      <c r="Z71" s="236" t="s">
        <v>543</v>
      </c>
      <c r="AA71" s="237" t="s">
        <v>537</v>
      </c>
      <c r="AB71" s="238">
        <v>4223</v>
      </c>
      <c r="AC71" s="168">
        <v>103509</v>
      </c>
      <c r="AD71" s="168" t="s">
        <v>565</v>
      </c>
    </row>
    <row r="72" spans="1:30">
      <c r="A72" s="227" t="s">
        <v>497</v>
      </c>
      <c r="B72" s="125">
        <v>2099</v>
      </c>
      <c r="C72" t="s">
        <v>537</v>
      </c>
      <c r="V72" s="238">
        <v>3317</v>
      </c>
      <c r="W72" s="168">
        <v>103421</v>
      </c>
      <c r="X72" s="168" t="s">
        <v>635</v>
      </c>
      <c r="Y72" s="168" t="s">
        <v>425</v>
      </c>
      <c r="Z72" s="236" t="s">
        <v>539</v>
      </c>
      <c r="AA72" s="237" t="s">
        <v>537</v>
      </c>
      <c r="AB72" s="238">
        <v>3317</v>
      </c>
      <c r="AC72" s="168">
        <v>103421</v>
      </c>
      <c r="AD72" s="168" t="s">
        <v>635</v>
      </c>
    </row>
    <row r="73" spans="1:30">
      <c r="A73" s="227" t="s">
        <v>422</v>
      </c>
      <c r="B73" s="125">
        <v>1010</v>
      </c>
      <c r="C73" t="s">
        <v>537</v>
      </c>
      <c r="V73" s="238">
        <v>1023</v>
      </c>
      <c r="W73" s="168">
        <v>103136</v>
      </c>
      <c r="X73" s="168" t="s">
        <v>636</v>
      </c>
      <c r="Y73" s="168" t="s">
        <v>426</v>
      </c>
      <c r="Z73" s="236" t="s">
        <v>536</v>
      </c>
      <c r="AA73" s="237" t="s">
        <v>537</v>
      </c>
      <c r="AB73" s="238">
        <v>1023</v>
      </c>
      <c r="AC73" s="168">
        <v>103136</v>
      </c>
      <c r="AD73" s="168" t="s">
        <v>636</v>
      </c>
    </row>
    <row r="74" spans="1:30">
      <c r="A74" s="227" t="s">
        <v>392</v>
      </c>
      <c r="B74" s="125">
        <v>1021</v>
      </c>
      <c r="C74" t="s">
        <v>537</v>
      </c>
      <c r="V74" s="238">
        <v>2015</v>
      </c>
      <c r="W74" s="168">
        <v>134102</v>
      </c>
      <c r="X74" s="168" t="s">
        <v>566</v>
      </c>
      <c r="Y74" s="168" t="s">
        <v>357</v>
      </c>
      <c r="Z74" s="236" t="s">
        <v>539</v>
      </c>
      <c r="AA74" s="237" t="s">
        <v>537</v>
      </c>
      <c r="AB74" s="238">
        <v>2015</v>
      </c>
      <c r="AC74" s="168">
        <v>134102</v>
      </c>
      <c r="AD74" s="168" t="s">
        <v>566</v>
      </c>
    </row>
    <row r="75" spans="1:30">
      <c r="A75" s="227" t="s">
        <v>354</v>
      </c>
      <c r="B75" s="125">
        <v>4201</v>
      </c>
      <c r="C75" t="s">
        <v>537</v>
      </c>
      <c r="V75" s="238">
        <v>4063</v>
      </c>
      <c r="W75" s="168">
        <v>103486</v>
      </c>
      <c r="X75" s="168" t="s">
        <v>599</v>
      </c>
      <c r="Y75" s="168" t="s">
        <v>793</v>
      </c>
      <c r="Z75" s="236" t="s">
        <v>543</v>
      </c>
      <c r="AA75" s="237" t="s">
        <v>537</v>
      </c>
      <c r="AB75" s="238">
        <v>4063</v>
      </c>
      <c r="AC75" s="168">
        <v>103486</v>
      </c>
      <c r="AD75" s="168" t="s">
        <v>599</v>
      </c>
    </row>
    <row r="76" spans="1:30">
      <c r="A76" s="227" t="s">
        <v>355</v>
      </c>
      <c r="B76" s="125">
        <v>4015</v>
      </c>
      <c r="C76" t="s">
        <v>537</v>
      </c>
      <c r="V76" s="238">
        <v>1016</v>
      </c>
      <c r="W76" s="168">
        <v>103129</v>
      </c>
      <c r="X76" s="168" t="s">
        <v>639</v>
      </c>
      <c r="Y76" s="168" t="s">
        <v>429</v>
      </c>
      <c r="Z76" s="236" t="s">
        <v>536</v>
      </c>
      <c r="AA76" s="237" t="s">
        <v>537</v>
      </c>
      <c r="AB76" s="238">
        <v>1016</v>
      </c>
      <c r="AC76" s="168">
        <v>103129</v>
      </c>
      <c r="AD76" s="168" t="s">
        <v>639</v>
      </c>
    </row>
    <row r="77" spans="1:30">
      <c r="A77" s="228" t="s">
        <v>423</v>
      </c>
      <c r="B77" s="125">
        <v>3411</v>
      </c>
      <c r="C77" t="s">
        <v>537</v>
      </c>
      <c r="V77" s="238">
        <v>2115</v>
      </c>
      <c r="W77" s="168">
        <v>103221</v>
      </c>
      <c r="X77" s="168" t="s">
        <v>640</v>
      </c>
      <c r="Y77" s="168" t="s">
        <v>430</v>
      </c>
      <c r="Z77" s="236" t="s">
        <v>539</v>
      </c>
      <c r="AA77" s="237" t="s">
        <v>537</v>
      </c>
      <c r="AB77" s="238">
        <v>2115</v>
      </c>
      <c r="AC77" s="168">
        <v>103221</v>
      </c>
      <c r="AD77" s="168" t="s">
        <v>640</v>
      </c>
    </row>
    <row r="78" spans="1:30">
      <c r="A78" s="227" t="s">
        <v>424</v>
      </c>
      <c r="B78" s="125">
        <v>2474</v>
      </c>
      <c r="C78" t="s">
        <v>537</v>
      </c>
      <c r="V78" s="238">
        <v>2441</v>
      </c>
      <c r="W78" s="168">
        <v>103368</v>
      </c>
      <c r="X78" s="168" t="s">
        <v>641</v>
      </c>
      <c r="Y78" s="168" t="s">
        <v>431</v>
      </c>
      <c r="Z78" s="236" t="s">
        <v>539</v>
      </c>
      <c r="AA78" s="237" t="s">
        <v>537</v>
      </c>
      <c r="AB78" s="238">
        <v>2441</v>
      </c>
      <c r="AC78" s="168">
        <v>103368</v>
      </c>
      <c r="AD78" s="168" t="s">
        <v>641</v>
      </c>
    </row>
    <row r="79" spans="1:30">
      <c r="A79" s="227" t="s">
        <v>356</v>
      </c>
      <c r="B79" s="125">
        <v>4223</v>
      </c>
      <c r="C79" t="s">
        <v>537</v>
      </c>
      <c r="V79" s="238">
        <v>2321</v>
      </c>
      <c r="W79" s="168">
        <v>103339</v>
      </c>
      <c r="X79" s="168" t="s">
        <v>642</v>
      </c>
      <c r="Y79" s="168" t="s">
        <v>432</v>
      </c>
      <c r="Z79" s="236" t="s">
        <v>539</v>
      </c>
      <c r="AA79" s="237" t="s">
        <v>537</v>
      </c>
      <c r="AB79" s="238">
        <v>2321</v>
      </c>
      <c r="AC79" s="168">
        <v>103339</v>
      </c>
      <c r="AD79" s="168" t="s">
        <v>642</v>
      </c>
    </row>
    <row r="80" spans="1:30">
      <c r="A80" s="227" t="s">
        <v>425</v>
      </c>
      <c r="B80" s="125">
        <v>3317</v>
      </c>
      <c r="C80" t="s">
        <v>537</v>
      </c>
      <c r="V80" s="238">
        <v>7062</v>
      </c>
      <c r="W80" s="168">
        <v>103632</v>
      </c>
      <c r="X80" s="168" t="s">
        <v>644</v>
      </c>
      <c r="Y80" s="168" t="s">
        <v>434</v>
      </c>
      <c r="Z80" s="236" t="s">
        <v>541</v>
      </c>
      <c r="AA80" s="237" t="s">
        <v>537</v>
      </c>
      <c r="AB80" s="238">
        <v>7062</v>
      </c>
      <c r="AC80" s="168">
        <v>103632</v>
      </c>
      <c r="AD80" s="168" t="s">
        <v>644</v>
      </c>
    </row>
    <row r="81" spans="1:30">
      <c r="A81" s="227" t="s">
        <v>426</v>
      </c>
      <c r="B81" s="125">
        <v>1023</v>
      </c>
      <c r="C81" t="s">
        <v>537</v>
      </c>
      <c r="V81" s="238">
        <v>2462</v>
      </c>
      <c r="W81" s="168">
        <v>103388</v>
      </c>
      <c r="X81" s="168" t="s">
        <v>567</v>
      </c>
      <c r="Y81" s="168" t="s">
        <v>358</v>
      </c>
      <c r="Z81" s="236" t="s">
        <v>539</v>
      </c>
      <c r="AA81" s="237" t="s">
        <v>537</v>
      </c>
      <c r="AB81" s="238">
        <v>2462</v>
      </c>
      <c r="AC81" s="168">
        <v>103388</v>
      </c>
      <c r="AD81" s="168" t="s">
        <v>567</v>
      </c>
    </row>
    <row r="82" spans="1:30">
      <c r="A82" s="227" t="s">
        <v>357</v>
      </c>
      <c r="B82" s="125">
        <v>2015</v>
      </c>
      <c r="C82" t="s">
        <v>537</v>
      </c>
      <c r="V82" s="238">
        <v>7012</v>
      </c>
      <c r="W82" s="168">
        <v>103603</v>
      </c>
      <c r="X82" s="168" t="s">
        <v>711</v>
      </c>
      <c r="Y82" s="168" t="s">
        <v>500</v>
      </c>
      <c r="Z82" s="236" t="s">
        <v>541</v>
      </c>
      <c r="AA82" s="237" t="s">
        <v>537</v>
      </c>
      <c r="AB82" s="238">
        <v>7012</v>
      </c>
      <c r="AC82" s="168">
        <v>103603</v>
      </c>
      <c r="AD82" s="168" t="s">
        <v>711</v>
      </c>
    </row>
    <row r="83" spans="1:30">
      <c r="A83" s="227" t="s">
        <v>427</v>
      </c>
      <c r="B83" s="125">
        <v>3352</v>
      </c>
      <c r="C83" t="s">
        <v>537</v>
      </c>
      <c r="V83" s="238">
        <v>2127</v>
      </c>
      <c r="W83" s="168">
        <v>103227</v>
      </c>
      <c r="X83" s="168" t="s">
        <v>568</v>
      </c>
      <c r="Y83" s="168" t="s">
        <v>359</v>
      </c>
      <c r="Z83" s="236" t="s">
        <v>539</v>
      </c>
      <c r="AA83" s="237" t="s">
        <v>537</v>
      </c>
      <c r="AB83" s="238">
        <v>2127</v>
      </c>
      <c r="AC83" s="168">
        <v>103227</v>
      </c>
      <c r="AD83" s="168" t="s">
        <v>568</v>
      </c>
    </row>
    <row r="84" spans="1:30">
      <c r="A84" s="227" t="s">
        <v>428</v>
      </c>
      <c r="B84" s="125">
        <v>2005</v>
      </c>
      <c r="C84" t="s">
        <v>537</v>
      </c>
      <c r="V84" s="238">
        <v>2129</v>
      </c>
      <c r="W84" s="168">
        <v>103229</v>
      </c>
      <c r="X84" s="168" t="s">
        <v>569</v>
      </c>
      <c r="Y84" s="168" t="s">
        <v>360</v>
      </c>
      <c r="Z84" s="236" t="s">
        <v>539</v>
      </c>
      <c r="AA84" s="237" t="s">
        <v>537</v>
      </c>
      <c r="AB84" s="238">
        <v>2129</v>
      </c>
      <c r="AC84" s="168">
        <v>103229</v>
      </c>
      <c r="AD84" s="168" t="s">
        <v>569</v>
      </c>
    </row>
    <row r="85" spans="1:30">
      <c r="A85" s="227" t="s">
        <v>793</v>
      </c>
      <c r="B85" s="125">
        <v>4063</v>
      </c>
      <c r="C85" t="s">
        <v>537</v>
      </c>
      <c r="V85" s="238">
        <v>2128</v>
      </c>
      <c r="W85" s="168">
        <v>103228</v>
      </c>
      <c r="X85" s="168" t="s">
        <v>570</v>
      </c>
      <c r="Y85" s="168" t="s">
        <v>361</v>
      </c>
      <c r="Z85" s="236" t="s">
        <v>539</v>
      </c>
      <c r="AA85" s="237" t="s">
        <v>537</v>
      </c>
      <c r="AB85" s="238">
        <v>2128</v>
      </c>
      <c r="AC85" s="168">
        <v>103228</v>
      </c>
      <c r="AD85" s="168" t="s">
        <v>570</v>
      </c>
    </row>
    <row r="86" spans="1:30">
      <c r="A86" s="227" t="s">
        <v>429</v>
      </c>
      <c r="B86" s="125">
        <v>1016</v>
      </c>
      <c r="C86" t="s">
        <v>537</v>
      </c>
      <c r="V86" s="238">
        <v>2420</v>
      </c>
      <c r="W86" s="168">
        <v>103353</v>
      </c>
      <c r="X86" s="168" t="s">
        <v>712</v>
      </c>
      <c r="Y86" s="168" t="s">
        <v>501</v>
      </c>
      <c r="Z86" s="236" t="s">
        <v>539</v>
      </c>
      <c r="AA86" s="237" t="s">
        <v>537</v>
      </c>
      <c r="AB86" s="238">
        <v>2420</v>
      </c>
      <c r="AC86" s="168">
        <v>103353</v>
      </c>
      <c r="AD86" s="168" t="s">
        <v>712</v>
      </c>
    </row>
    <row r="87" spans="1:30">
      <c r="A87" s="227" t="s">
        <v>430</v>
      </c>
      <c r="B87" s="125">
        <v>2115</v>
      </c>
      <c r="C87" t="s">
        <v>537</v>
      </c>
      <c r="V87" s="238">
        <v>1012</v>
      </c>
      <c r="W87" s="168">
        <v>103126</v>
      </c>
      <c r="X87" s="168" t="s">
        <v>646</v>
      </c>
      <c r="Y87" s="168" t="s">
        <v>436</v>
      </c>
      <c r="Z87" s="236" t="s">
        <v>536</v>
      </c>
      <c r="AA87" s="237" t="s">
        <v>537</v>
      </c>
      <c r="AB87" s="238">
        <v>1012</v>
      </c>
      <c r="AC87" s="168">
        <v>103126</v>
      </c>
      <c r="AD87" s="168" t="s">
        <v>646</v>
      </c>
    </row>
    <row r="88" spans="1:30">
      <c r="A88" s="227" t="s">
        <v>431</v>
      </c>
      <c r="B88" s="125">
        <v>2441</v>
      </c>
      <c r="C88" t="s">
        <v>537</v>
      </c>
      <c r="V88" s="238">
        <v>2133</v>
      </c>
      <c r="W88" s="168">
        <v>103233</v>
      </c>
      <c r="X88" s="168" t="s">
        <v>571</v>
      </c>
      <c r="Y88" s="168" t="s">
        <v>362</v>
      </c>
      <c r="Z88" s="236" t="s">
        <v>539</v>
      </c>
      <c r="AA88" s="237" t="s">
        <v>537</v>
      </c>
      <c r="AB88" s="238">
        <v>2133</v>
      </c>
      <c r="AC88" s="168">
        <v>103233</v>
      </c>
      <c r="AD88" s="168" t="s">
        <v>571</v>
      </c>
    </row>
    <row r="89" spans="1:30">
      <c r="A89" s="227" t="s">
        <v>432</v>
      </c>
      <c r="B89" s="125">
        <v>2321</v>
      </c>
      <c r="C89" t="s">
        <v>537</v>
      </c>
      <c r="V89" s="238">
        <v>2406</v>
      </c>
      <c r="W89" s="168">
        <v>103345</v>
      </c>
      <c r="X89" s="168" t="s">
        <v>713</v>
      </c>
      <c r="Y89" s="168" t="s">
        <v>502</v>
      </c>
      <c r="Z89" s="236" t="s">
        <v>539</v>
      </c>
      <c r="AA89" s="237" t="s">
        <v>537</v>
      </c>
      <c r="AB89" s="238">
        <v>2406</v>
      </c>
      <c r="AC89" s="168">
        <v>103345</v>
      </c>
      <c r="AD89" s="168" t="s">
        <v>713</v>
      </c>
    </row>
    <row r="90" spans="1:30">
      <c r="A90" s="227" t="s">
        <v>498</v>
      </c>
      <c r="B90" s="125">
        <v>2189</v>
      </c>
      <c r="C90" t="s">
        <v>537</v>
      </c>
      <c r="V90" s="238">
        <v>2416</v>
      </c>
      <c r="W90" s="168">
        <v>103351</v>
      </c>
      <c r="X90" s="168" t="s">
        <v>573</v>
      </c>
      <c r="Y90" s="168" t="s">
        <v>364</v>
      </c>
      <c r="Z90" s="236" t="s">
        <v>539</v>
      </c>
      <c r="AA90" s="237" t="s">
        <v>537</v>
      </c>
      <c r="AB90" s="238">
        <v>2416</v>
      </c>
      <c r="AC90" s="168">
        <v>103351</v>
      </c>
      <c r="AD90" s="168" t="s">
        <v>573</v>
      </c>
    </row>
    <row r="91" spans="1:30">
      <c r="A91" s="227" t="s">
        <v>499</v>
      </c>
      <c r="B91" s="125">
        <v>7060</v>
      </c>
      <c r="C91" t="s">
        <v>537</v>
      </c>
      <c r="V91" s="238">
        <v>3003</v>
      </c>
      <c r="W91" s="168">
        <v>103398</v>
      </c>
      <c r="X91" s="168" t="s">
        <v>647</v>
      </c>
      <c r="Y91" s="168" t="s">
        <v>437</v>
      </c>
      <c r="Z91" s="236" t="s">
        <v>539</v>
      </c>
      <c r="AA91" s="237" t="s">
        <v>537</v>
      </c>
      <c r="AB91" s="238">
        <v>3003</v>
      </c>
      <c r="AC91" s="168">
        <v>103398</v>
      </c>
      <c r="AD91" s="168" t="s">
        <v>647</v>
      </c>
    </row>
    <row r="92" spans="1:30">
      <c r="A92" s="227" t="s">
        <v>433</v>
      </c>
      <c r="B92" s="125">
        <v>1024</v>
      </c>
      <c r="C92" t="s">
        <v>537</v>
      </c>
      <c r="V92" s="238">
        <v>4245</v>
      </c>
      <c r="W92" s="168">
        <v>103519</v>
      </c>
      <c r="X92" s="168" t="s">
        <v>574</v>
      </c>
      <c r="Y92" s="168" t="s">
        <v>365</v>
      </c>
      <c r="Z92" s="236" t="s">
        <v>543</v>
      </c>
      <c r="AA92" s="237" t="s">
        <v>537</v>
      </c>
      <c r="AB92" s="238">
        <v>4245</v>
      </c>
      <c r="AC92" s="168">
        <v>103519</v>
      </c>
      <c r="AD92" s="168" t="s">
        <v>574</v>
      </c>
    </row>
    <row r="93" spans="1:30">
      <c r="A93" s="227" t="s">
        <v>434</v>
      </c>
      <c r="B93" s="125">
        <v>7062</v>
      </c>
      <c r="C93" t="s">
        <v>537</v>
      </c>
      <c r="V93" s="238">
        <v>2457</v>
      </c>
      <c r="W93" s="168">
        <v>103384</v>
      </c>
      <c r="X93" s="168" t="s">
        <v>648</v>
      </c>
      <c r="Y93" s="168" t="s">
        <v>438</v>
      </c>
      <c r="Z93" s="236" t="s">
        <v>539</v>
      </c>
      <c r="AA93" s="237" t="s">
        <v>537</v>
      </c>
      <c r="AB93" s="238">
        <v>2457</v>
      </c>
      <c r="AC93" s="168">
        <v>103384</v>
      </c>
      <c r="AD93" s="168" t="s">
        <v>648</v>
      </c>
    </row>
    <row r="94" spans="1:30">
      <c r="A94" s="227" t="s">
        <v>358</v>
      </c>
      <c r="B94" s="125">
        <v>2462</v>
      </c>
      <c r="C94" t="s">
        <v>537</v>
      </c>
      <c r="V94" s="238">
        <v>2142</v>
      </c>
      <c r="W94" s="168">
        <v>103237</v>
      </c>
      <c r="X94" s="168" t="s">
        <v>649</v>
      </c>
      <c r="Y94" s="168" t="s">
        <v>439</v>
      </c>
      <c r="Z94" s="236" t="s">
        <v>539</v>
      </c>
      <c r="AA94" s="237" t="s">
        <v>537</v>
      </c>
      <c r="AB94" s="238">
        <v>2142</v>
      </c>
      <c r="AC94" s="168">
        <v>103237</v>
      </c>
      <c r="AD94" s="168" t="s">
        <v>649</v>
      </c>
    </row>
    <row r="95" spans="1:30">
      <c r="A95" s="228" t="s">
        <v>500</v>
      </c>
      <c r="B95" s="125">
        <v>7012</v>
      </c>
      <c r="C95" t="s">
        <v>537</v>
      </c>
      <c r="V95" s="238">
        <v>2469</v>
      </c>
      <c r="W95" s="168">
        <v>103395</v>
      </c>
      <c r="X95" s="168" t="s">
        <v>650</v>
      </c>
      <c r="Y95" s="168" t="s">
        <v>440</v>
      </c>
      <c r="Z95" s="236" t="s">
        <v>539</v>
      </c>
      <c r="AA95" s="237" t="s">
        <v>537</v>
      </c>
      <c r="AB95" s="238">
        <v>2469</v>
      </c>
      <c r="AC95" s="168">
        <v>103395</v>
      </c>
      <c r="AD95" s="168" t="s">
        <v>650</v>
      </c>
    </row>
    <row r="96" spans="1:30">
      <c r="A96" s="228" t="s">
        <v>359</v>
      </c>
      <c r="B96" s="125">
        <v>2127</v>
      </c>
      <c r="C96" t="s">
        <v>537</v>
      </c>
      <c r="V96" s="238">
        <v>1049</v>
      </c>
      <c r="W96" s="168">
        <v>103145</v>
      </c>
      <c r="X96" s="168" t="s">
        <v>653</v>
      </c>
      <c r="Y96" s="168" t="s">
        <v>443</v>
      </c>
      <c r="Z96" s="236" t="s">
        <v>536</v>
      </c>
      <c r="AA96" s="237" t="s">
        <v>537</v>
      </c>
      <c r="AB96" s="238">
        <v>1049</v>
      </c>
      <c r="AC96" s="168">
        <v>103145</v>
      </c>
      <c r="AD96" s="168" t="s">
        <v>653</v>
      </c>
    </row>
    <row r="97" spans="1:30">
      <c r="A97" s="227" t="s">
        <v>360</v>
      </c>
      <c r="B97" s="125">
        <v>2129</v>
      </c>
      <c r="C97" t="s">
        <v>537</v>
      </c>
      <c r="V97" s="238">
        <v>7053</v>
      </c>
      <c r="W97" s="168">
        <v>103628</v>
      </c>
      <c r="X97" s="168" t="s">
        <v>575</v>
      </c>
      <c r="Y97" s="168" t="s">
        <v>366</v>
      </c>
      <c r="Z97" s="236" t="s">
        <v>541</v>
      </c>
      <c r="AA97" s="237" t="s">
        <v>537</v>
      </c>
      <c r="AB97" s="238">
        <v>7053</v>
      </c>
      <c r="AC97" s="168">
        <v>103628</v>
      </c>
      <c r="AD97" s="168" t="s">
        <v>575</v>
      </c>
    </row>
    <row r="98" spans="1:30">
      <c r="A98" s="227" t="s">
        <v>361</v>
      </c>
      <c r="B98" s="125">
        <v>2128</v>
      </c>
      <c r="C98" t="s">
        <v>537</v>
      </c>
      <c r="V98" s="238">
        <v>3351</v>
      </c>
      <c r="W98" s="168">
        <v>103443</v>
      </c>
      <c r="X98" s="168" t="s">
        <v>714</v>
      </c>
      <c r="Y98" s="168" t="s">
        <v>503</v>
      </c>
      <c r="Z98" s="236" t="s">
        <v>539</v>
      </c>
      <c r="AA98" s="237" t="s">
        <v>537</v>
      </c>
      <c r="AB98" s="238">
        <v>3351</v>
      </c>
      <c r="AC98" s="168">
        <v>103443</v>
      </c>
      <c r="AD98" s="168" t="s">
        <v>714</v>
      </c>
    </row>
    <row r="99" spans="1:30">
      <c r="A99" s="228" t="s">
        <v>501</v>
      </c>
      <c r="B99" s="125">
        <v>2420</v>
      </c>
      <c r="C99" t="s">
        <v>537</v>
      </c>
      <c r="V99" s="238">
        <v>3328</v>
      </c>
      <c r="W99" s="168">
        <v>103430</v>
      </c>
      <c r="X99" s="168" t="s">
        <v>715</v>
      </c>
      <c r="Y99" s="168" t="s">
        <v>504</v>
      </c>
      <c r="Z99" s="236" t="s">
        <v>539</v>
      </c>
      <c r="AA99" s="237" t="s">
        <v>537</v>
      </c>
      <c r="AB99" s="238">
        <v>3328</v>
      </c>
      <c r="AC99" s="168">
        <v>103430</v>
      </c>
      <c r="AD99" s="168" t="s">
        <v>715</v>
      </c>
    </row>
    <row r="100" spans="1:30">
      <c r="A100" s="227" t="s">
        <v>435</v>
      </c>
      <c r="B100" s="125">
        <v>2004</v>
      </c>
      <c r="C100" t="s">
        <v>537</v>
      </c>
      <c r="V100" s="238">
        <v>1008</v>
      </c>
      <c r="W100" s="168">
        <v>103123</v>
      </c>
      <c r="X100" s="168" t="s">
        <v>656</v>
      </c>
      <c r="Y100" s="168" t="s">
        <v>446</v>
      </c>
      <c r="Z100" s="236" t="s">
        <v>536</v>
      </c>
      <c r="AA100" s="237" t="s">
        <v>537</v>
      </c>
      <c r="AB100" s="238">
        <v>1008</v>
      </c>
      <c r="AC100" s="168">
        <v>103123</v>
      </c>
      <c r="AD100" s="168" t="s">
        <v>656</v>
      </c>
    </row>
    <row r="101" spans="1:30">
      <c r="A101" s="227" t="s">
        <v>436</v>
      </c>
      <c r="B101" s="125">
        <v>1012</v>
      </c>
      <c r="C101" t="s">
        <v>537</v>
      </c>
      <c r="V101" s="238">
        <v>4173</v>
      </c>
      <c r="W101" s="168">
        <v>103497</v>
      </c>
      <c r="X101" s="168" t="s">
        <v>576</v>
      </c>
      <c r="Y101" s="168" t="s">
        <v>367</v>
      </c>
      <c r="Z101" s="236" t="s">
        <v>543</v>
      </c>
      <c r="AA101" s="237" t="s">
        <v>537</v>
      </c>
      <c r="AB101" s="238">
        <v>4173</v>
      </c>
      <c r="AC101" s="168">
        <v>103497</v>
      </c>
      <c r="AD101" s="168" t="s">
        <v>576</v>
      </c>
    </row>
    <row r="102" spans="1:30">
      <c r="A102" s="228" t="s">
        <v>362</v>
      </c>
      <c r="B102" s="125">
        <v>2133</v>
      </c>
      <c r="C102" t="s">
        <v>537</v>
      </c>
      <c r="V102" s="238">
        <v>2159</v>
      </c>
      <c r="W102" s="168">
        <v>103247</v>
      </c>
      <c r="X102" s="168" t="s">
        <v>659</v>
      </c>
      <c r="Y102" s="168" t="s">
        <v>449</v>
      </c>
      <c r="Z102" s="236" t="s">
        <v>539</v>
      </c>
      <c r="AA102" s="237" t="s">
        <v>537</v>
      </c>
      <c r="AB102" s="238">
        <v>2159</v>
      </c>
      <c r="AC102" s="168">
        <v>103247</v>
      </c>
      <c r="AD102" s="168" t="s">
        <v>659</v>
      </c>
    </row>
    <row r="103" spans="1:30">
      <c r="A103" s="228" t="s">
        <v>502</v>
      </c>
      <c r="B103" s="125">
        <v>2406</v>
      </c>
      <c r="C103" t="s">
        <v>537</v>
      </c>
      <c r="V103" s="238">
        <v>2161</v>
      </c>
      <c r="W103" s="168">
        <v>103249</v>
      </c>
      <c r="X103" s="168" t="s">
        <v>660</v>
      </c>
      <c r="Y103" s="168" t="s">
        <v>450</v>
      </c>
      <c r="Z103" s="236" t="s">
        <v>539</v>
      </c>
      <c r="AA103" s="237" t="s">
        <v>537</v>
      </c>
      <c r="AB103" s="238">
        <v>2161</v>
      </c>
      <c r="AC103" s="168">
        <v>103249</v>
      </c>
      <c r="AD103" s="168" t="s">
        <v>660</v>
      </c>
    </row>
    <row r="104" spans="1:30">
      <c r="A104" s="227" t="s">
        <v>364</v>
      </c>
      <c r="B104" s="125">
        <v>2416</v>
      </c>
      <c r="C104" t="s">
        <v>537</v>
      </c>
      <c r="V104" s="238">
        <v>2160</v>
      </c>
      <c r="W104" s="168">
        <v>103248</v>
      </c>
      <c r="X104" s="168" t="s">
        <v>716</v>
      </c>
      <c r="Y104" s="168" t="s">
        <v>505</v>
      </c>
      <c r="Z104" s="236" t="s">
        <v>539</v>
      </c>
      <c r="AA104" s="237" t="s">
        <v>537</v>
      </c>
      <c r="AB104" s="238">
        <v>2160</v>
      </c>
      <c r="AC104" s="168">
        <v>103248</v>
      </c>
      <c r="AD104" s="168" t="s">
        <v>716</v>
      </c>
    </row>
    <row r="105" spans="1:30">
      <c r="A105" s="228" t="s">
        <v>437</v>
      </c>
      <c r="B105" s="125">
        <v>3003</v>
      </c>
      <c r="C105" t="s">
        <v>537</v>
      </c>
      <c r="V105" s="238">
        <v>2063</v>
      </c>
      <c r="W105" s="168">
        <v>103193</v>
      </c>
      <c r="X105" s="168" t="s">
        <v>717</v>
      </c>
      <c r="Y105" s="168" t="s">
        <v>506</v>
      </c>
      <c r="Z105" s="236" t="s">
        <v>539</v>
      </c>
      <c r="AA105" s="237" t="s">
        <v>537</v>
      </c>
      <c r="AB105" s="238">
        <v>2063</v>
      </c>
      <c r="AC105" s="168">
        <v>103193</v>
      </c>
      <c r="AD105" s="168" t="s">
        <v>717</v>
      </c>
    </row>
    <row r="106" spans="1:30">
      <c r="A106" s="227" t="s">
        <v>365</v>
      </c>
      <c r="B106" s="125">
        <v>4245</v>
      </c>
      <c r="C106" t="s">
        <v>537</v>
      </c>
      <c r="V106" s="238">
        <v>1018</v>
      </c>
      <c r="W106" s="168">
        <v>103131</v>
      </c>
      <c r="X106" s="168" t="s">
        <v>661</v>
      </c>
      <c r="Y106" s="168" t="s">
        <v>451</v>
      </c>
      <c r="Z106" s="236" t="s">
        <v>536</v>
      </c>
      <c r="AA106" s="237" t="s">
        <v>537</v>
      </c>
      <c r="AB106" s="238">
        <v>1018</v>
      </c>
      <c r="AC106" s="168">
        <v>103131</v>
      </c>
      <c r="AD106" s="168" t="s">
        <v>661</v>
      </c>
    </row>
    <row r="107" spans="1:30">
      <c r="A107" s="227" t="s">
        <v>438</v>
      </c>
      <c r="B107" s="125">
        <v>2457</v>
      </c>
      <c r="C107" t="s">
        <v>537</v>
      </c>
      <c r="V107" s="238">
        <v>7033</v>
      </c>
      <c r="W107" s="168">
        <v>103613</v>
      </c>
      <c r="X107" s="168" t="s">
        <v>577</v>
      </c>
      <c r="Y107" s="168" t="s">
        <v>368</v>
      </c>
      <c r="Z107" s="236" t="s">
        <v>541</v>
      </c>
      <c r="AA107" s="237" t="s">
        <v>537</v>
      </c>
      <c r="AB107" s="238">
        <v>7033</v>
      </c>
      <c r="AC107" s="168">
        <v>103613</v>
      </c>
      <c r="AD107" s="168" t="s">
        <v>577</v>
      </c>
    </row>
    <row r="108" spans="1:30">
      <c r="A108" s="227" t="s">
        <v>439</v>
      </c>
      <c r="B108" s="125">
        <v>2142</v>
      </c>
      <c r="C108" t="s">
        <v>537</v>
      </c>
      <c r="V108" s="238">
        <v>4177</v>
      </c>
      <c r="W108" s="168">
        <v>103498</v>
      </c>
      <c r="X108" s="168" t="s">
        <v>578</v>
      </c>
      <c r="Y108" s="168" t="s">
        <v>369</v>
      </c>
      <c r="Z108" s="236" t="s">
        <v>543</v>
      </c>
      <c r="AA108" s="237" t="s">
        <v>537</v>
      </c>
      <c r="AB108" s="238">
        <v>4177</v>
      </c>
      <c r="AC108" s="168">
        <v>103498</v>
      </c>
      <c r="AD108" s="168" t="s">
        <v>578</v>
      </c>
    </row>
    <row r="109" spans="1:30">
      <c r="A109" s="227" t="s">
        <v>440</v>
      </c>
      <c r="B109" s="125">
        <v>2469</v>
      </c>
      <c r="C109" t="s">
        <v>537</v>
      </c>
      <c r="V109" s="238">
        <v>2169</v>
      </c>
      <c r="W109" s="168">
        <v>103252</v>
      </c>
      <c r="X109" s="168" t="s">
        <v>663</v>
      </c>
      <c r="Y109" s="168" t="s">
        <v>453</v>
      </c>
      <c r="Z109" s="236" t="s">
        <v>539</v>
      </c>
      <c r="AA109" s="237" t="s">
        <v>537</v>
      </c>
      <c r="AB109" s="238">
        <v>2169</v>
      </c>
      <c r="AC109" s="168">
        <v>103252</v>
      </c>
      <c r="AD109" s="168" t="s">
        <v>663</v>
      </c>
    </row>
    <row r="110" spans="1:30">
      <c r="A110" s="227" t="s">
        <v>442</v>
      </c>
      <c r="B110" s="125">
        <v>1028</v>
      </c>
      <c r="C110" t="s">
        <v>537</v>
      </c>
      <c r="V110" s="238">
        <v>2008</v>
      </c>
      <c r="W110" s="168">
        <v>103157</v>
      </c>
      <c r="X110" s="168" t="s">
        <v>718</v>
      </c>
      <c r="Y110" s="168" t="s">
        <v>507</v>
      </c>
      <c r="Z110" s="236" t="s">
        <v>539</v>
      </c>
      <c r="AA110" s="237" t="s">
        <v>537</v>
      </c>
      <c r="AB110" s="238">
        <v>2008</v>
      </c>
      <c r="AC110" s="168">
        <v>103157</v>
      </c>
      <c r="AD110" s="168" t="s">
        <v>718</v>
      </c>
    </row>
    <row r="111" spans="1:30">
      <c r="A111" s="227" t="s">
        <v>443</v>
      </c>
      <c r="B111" s="125">
        <v>1049</v>
      </c>
      <c r="C111" t="s">
        <v>537</v>
      </c>
      <c r="V111" s="238">
        <v>1038</v>
      </c>
      <c r="W111" s="168">
        <v>103142</v>
      </c>
      <c r="X111" s="168" t="s">
        <v>579</v>
      </c>
      <c r="Y111" s="168" t="s">
        <v>370</v>
      </c>
      <c r="Z111" s="236" t="s">
        <v>536</v>
      </c>
      <c r="AA111" s="237" t="s">
        <v>537</v>
      </c>
      <c r="AB111" s="238">
        <v>1038</v>
      </c>
      <c r="AC111" s="168">
        <v>103142</v>
      </c>
      <c r="AD111" s="168" t="s">
        <v>579</v>
      </c>
    </row>
    <row r="112" spans="1:30">
      <c r="A112" s="227" t="s">
        <v>366</v>
      </c>
      <c r="B112" s="125">
        <v>7053</v>
      </c>
      <c r="C112" t="s">
        <v>537</v>
      </c>
      <c r="V112" s="238">
        <v>2174</v>
      </c>
      <c r="W112" s="168">
        <v>103255</v>
      </c>
      <c r="X112" s="168" t="s">
        <v>580</v>
      </c>
      <c r="Y112" s="168" t="s">
        <v>371</v>
      </c>
      <c r="Z112" s="236" t="s">
        <v>539</v>
      </c>
      <c r="AA112" s="237" t="s">
        <v>537</v>
      </c>
      <c r="AB112" s="238">
        <v>2174</v>
      </c>
      <c r="AC112" s="168">
        <v>103255</v>
      </c>
      <c r="AD112" s="168" t="s">
        <v>580</v>
      </c>
    </row>
    <row r="113" spans="1:30">
      <c r="A113" s="227" t="s">
        <v>503</v>
      </c>
      <c r="B113" s="125">
        <v>3351</v>
      </c>
      <c r="C113" t="s">
        <v>537</v>
      </c>
      <c r="V113" s="238">
        <v>2176</v>
      </c>
      <c r="W113" s="168">
        <v>103256</v>
      </c>
      <c r="X113" s="168" t="s">
        <v>719</v>
      </c>
      <c r="Y113" s="168" t="s">
        <v>508</v>
      </c>
      <c r="Z113" s="236" t="s">
        <v>539</v>
      </c>
      <c r="AA113" s="237" t="s">
        <v>537</v>
      </c>
      <c r="AB113" s="238">
        <v>2176</v>
      </c>
      <c r="AC113" s="168">
        <v>103256</v>
      </c>
      <c r="AD113" s="168" t="s">
        <v>719</v>
      </c>
    </row>
    <row r="114" spans="1:30">
      <c r="A114" s="227" t="s">
        <v>504</v>
      </c>
      <c r="B114" s="125">
        <v>3328</v>
      </c>
      <c r="C114" t="s">
        <v>537</v>
      </c>
      <c r="V114" s="238">
        <v>7047</v>
      </c>
      <c r="W114" s="168">
        <v>103623</v>
      </c>
      <c r="X114" s="168" t="s">
        <v>664</v>
      </c>
      <c r="Y114" s="168" t="s">
        <v>454</v>
      </c>
      <c r="Z114" s="236" t="s">
        <v>541</v>
      </c>
      <c r="AA114" s="237" t="s">
        <v>537</v>
      </c>
      <c r="AB114" s="238">
        <v>7047</v>
      </c>
      <c r="AC114" s="168">
        <v>103623</v>
      </c>
      <c r="AD114" s="168" t="s">
        <v>664</v>
      </c>
    </row>
    <row r="115" spans="1:30">
      <c r="A115" s="227" t="s">
        <v>444</v>
      </c>
      <c r="B115" s="125">
        <v>2150</v>
      </c>
      <c r="C115" t="s">
        <v>537</v>
      </c>
      <c r="V115" s="238">
        <v>3410</v>
      </c>
      <c r="W115" s="168">
        <v>103478</v>
      </c>
      <c r="X115" s="168" t="s">
        <v>720</v>
      </c>
      <c r="Y115" s="168" t="s">
        <v>509</v>
      </c>
      <c r="Z115" s="236" t="s">
        <v>539</v>
      </c>
      <c r="AA115" s="237" t="s">
        <v>537</v>
      </c>
      <c r="AB115" s="238">
        <v>3410</v>
      </c>
      <c r="AC115" s="168">
        <v>103478</v>
      </c>
      <c r="AD115" s="168" t="s">
        <v>720</v>
      </c>
    </row>
    <row r="116" spans="1:30">
      <c r="A116" s="227" t="s">
        <v>445</v>
      </c>
      <c r="B116" s="125">
        <v>2425</v>
      </c>
      <c r="C116" t="s">
        <v>537</v>
      </c>
      <c r="V116" s="238">
        <v>3381</v>
      </c>
      <c r="W116" s="168">
        <v>103466</v>
      </c>
      <c r="X116" s="168" t="s">
        <v>665</v>
      </c>
      <c r="Y116" s="168" t="s">
        <v>455</v>
      </c>
      <c r="Z116" s="236" t="s">
        <v>539</v>
      </c>
      <c r="AA116" s="237" t="s">
        <v>537</v>
      </c>
      <c r="AB116" s="238">
        <v>3381</v>
      </c>
      <c r="AC116" s="168">
        <v>103466</v>
      </c>
      <c r="AD116" s="168" t="s">
        <v>665</v>
      </c>
    </row>
    <row r="117" spans="1:30">
      <c r="A117" s="228" t="s">
        <v>446</v>
      </c>
      <c r="B117" s="125">
        <v>1008</v>
      </c>
      <c r="C117" t="s">
        <v>537</v>
      </c>
      <c r="V117" s="238">
        <v>3335</v>
      </c>
      <c r="W117" s="168">
        <v>103434</v>
      </c>
      <c r="X117" s="168" t="s">
        <v>722</v>
      </c>
      <c r="Y117" s="168" t="s">
        <v>511</v>
      </c>
      <c r="Z117" s="236" t="s">
        <v>539</v>
      </c>
      <c r="AA117" s="237" t="s">
        <v>537</v>
      </c>
      <c r="AB117" s="238">
        <v>3335</v>
      </c>
      <c r="AC117" s="168">
        <v>103434</v>
      </c>
      <c r="AD117" s="168" t="s">
        <v>722</v>
      </c>
    </row>
    <row r="118" spans="1:30">
      <c r="A118" s="228" t="s">
        <v>447</v>
      </c>
      <c r="B118" s="125">
        <v>7034</v>
      </c>
      <c r="C118" t="s">
        <v>537</v>
      </c>
      <c r="V118" s="238">
        <v>2183</v>
      </c>
      <c r="W118" s="168">
        <v>103261</v>
      </c>
      <c r="X118" s="168" t="s">
        <v>667</v>
      </c>
      <c r="Y118" s="168" t="s">
        <v>457</v>
      </c>
      <c r="Z118" s="236" t="s">
        <v>539</v>
      </c>
      <c r="AA118" s="237" t="s">
        <v>537</v>
      </c>
      <c r="AB118" s="238">
        <v>2183</v>
      </c>
      <c r="AC118" s="168">
        <v>103261</v>
      </c>
      <c r="AD118" s="168" t="s">
        <v>667</v>
      </c>
    </row>
    <row r="119" spans="1:30">
      <c r="A119" s="227" t="s">
        <v>367</v>
      </c>
      <c r="B119" s="125">
        <v>4173</v>
      </c>
      <c r="C119" t="s">
        <v>537</v>
      </c>
      <c r="V119" s="238">
        <v>3372</v>
      </c>
      <c r="W119" s="168">
        <v>103460</v>
      </c>
      <c r="X119" s="168" t="s">
        <v>723</v>
      </c>
      <c r="Y119" s="168" t="s">
        <v>512</v>
      </c>
      <c r="Z119" s="236" t="s">
        <v>539</v>
      </c>
      <c r="AA119" s="237" t="s">
        <v>537</v>
      </c>
      <c r="AB119" s="238">
        <v>3372</v>
      </c>
      <c r="AC119" s="168">
        <v>103460</v>
      </c>
      <c r="AD119" s="168" t="s">
        <v>723</v>
      </c>
    </row>
    <row r="120" spans="1:30">
      <c r="A120" s="227" t="s">
        <v>448</v>
      </c>
      <c r="B120" s="125">
        <v>2157</v>
      </c>
      <c r="C120" t="s">
        <v>537</v>
      </c>
      <c r="V120" s="238">
        <v>3375</v>
      </c>
      <c r="W120" s="168">
        <v>103462</v>
      </c>
      <c r="X120" s="168" t="s">
        <v>600</v>
      </c>
      <c r="Y120" s="168" t="s">
        <v>390</v>
      </c>
      <c r="Z120" s="236" t="s">
        <v>539</v>
      </c>
      <c r="AA120" s="237" t="s">
        <v>537</v>
      </c>
      <c r="AB120" s="238">
        <v>3375</v>
      </c>
      <c r="AC120" s="168">
        <v>103462</v>
      </c>
      <c r="AD120" s="168" t="s">
        <v>600</v>
      </c>
    </row>
    <row r="121" spans="1:30">
      <c r="A121" s="227" t="s">
        <v>449</v>
      </c>
      <c r="B121" s="125">
        <v>2159</v>
      </c>
      <c r="C121" t="s">
        <v>537</v>
      </c>
      <c r="V121" s="238">
        <v>3331</v>
      </c>
      <c r="W121" s="168">
        <v>103433</v>
      </c>
      <c r="X121" s="168" t="s">
        <v>668</v>
      </c>
      <c r="Y121" s="168" t="s">
        <v>458</v>
      </c>
      <c r="Z121" s="236" t="s">
        <v>539</v>
      </c>
      <c r="AA121" s="237" t="s">
        <v>537</v>
      </c>
      <c r="AB121" s="238">
        <v>3331</v>
      </c>
      <c r="AC121" s="168">
        <v>103433</v>
      </c>
      <c r="AD121" s="168" t="s">
        <v>668</v>
      </c>
    </row>
    <row r="122" spans="1:30">
      <c r="A122" s="228" t="s">
        <v>450</v>
      </c>
      <c r="B122" s="125">
        <v>2161</v>
      </c>
      <c r="C122" t="s">
        <v>537</v>
      </c>
      <c r="V122" s="238">
        <v>3386</v>
      </c>
      <c r="W122" s="168">
        <v>103470</v>
      </c>
      <c r="X122" s="168" t="s">
        <v>670</v>
      </c>
      <c r="Y122" s="168" t="s">
        <v>460</v>
      </c>
      <c r="Z122" s="236" t="s">
        <v>539</v>
      </c>
      <c r="AA122" s="237" t="s">
        <v>537</v>
      </c>
      <c r="AB122" s="238">
        <v>3386</v>
      </c>
      <c r="AC122" s="168">
        <v>103470</v>
      </c>
      <c r="AD122" s="168" t="s">
        <v>670</v>
      </c>
    </row>
    <row r="123" spans="1:30">
      <c r="A123" s="227" t="s">
        <v>505</v>
      </c>
      <c r="B123" s="125">
        <v>2160</v>
      </c>
      <c r="C123" t="s">
        <v>537</v>
      </c>
      <c r="V123" s="238">
        <v>3363</v>
      </c>
      <c r="W123" s="168">
        <v>103455</v>
      </c>
      <c r="X123" s="168" t="s">
        <v>581</v>
      </c>
      <c r="Y123" s="168" t="s">
        <v>372</v>
      </c>
      <c r="Z123" s="236" t="s">
        <v>539</v>
      </c>
      <c r="AA123" s="237" t="s">
        <v>537</v>
      </c>
      <c r="AB123" s="238">
        <v>3363</v>
      </c>
      <c r="AC123" s="168">
        <v>103455</v>
      </c>
      <c r="AD123" s="168" t="s">
        <v>581</v>
      </c>
    </row>
    <row r="124" spans="1:30">
      <c r="A124" s="228" t="s">
        <v>506</v>
      </c>
      <c r="B124" s="125">
        <v>2063</v>
      </c>
      <c r="C124" t="s">
        <v>537</v>
      </c>
      <c r="V124" s="238">
        <v>3355</v>
      </c>
      <c r="W124" s="168">
        <v>103447</v>
      </c>
      <c r="X124" s="168" t="s">
        <v>724</v>
      </c>
      <c r="Y124" s="168" t="s">
        <v>513</v>
      </c>
      <c r="Z124" s="236" t="s">
        <v>539</v>
      </c>
      <c r="AA124" s="237" t="s">
        <v>537</v>
      </c>
      <c r="AB124" s="238">
        <v>3355</v>
      </c>
      <c r="AC124" s="168">
        <v>103447</v>
      </c>
      <c r="AD124" s="168" t="s">
        <v>724</v>
      </c>
    </row>
    <row r="125" spans="1:30">
      <c r="A125" s="228" t="s">
        <v>451</v>
      </c>
      <c r="B125" s="125">
        <v>1018</v>
      </c>
      <c r="C125" t="s">
        <v>537</v>
      </c>
      <c r="V125" s="238">
        <v>3367</v>
      </c>
      <c r="W125" s="168">
        <v>103458</v>
      </c>
      <c r="X125" s="168" t="s">
        <v>725</v>
      </c>
      <c r="Y125" s="168" t="s">
        <v>514</v>
      </c>
      <c r="Z125" s="236" t="s">
        <v>539</v>
      </c>
      <c r="AA125" s="237" t="s">
        <v>537</v>
      </c>
      <c r="AB125" s="238">
        <v>3367</v>
      </c>
      <c r="AC125" s="168">
        <v>103458</v>
      </c>
      <c r="AD125" s="168" t="s">
        <v>725</v>
      </c>
    </row>
    <row r="126" spans="1:30">
      <c r="A126" s="227" t="s">
        <v>452</v>
      </c>
      <c r="B126" s="125">
        <v>1000</v>
      </c>
      <c r="C126" t="s">
        <v>537</v>
      </c>
      <c r="V126" s="238">
        <v>3010</v>
      </c>
      <c r="W126" s="168">
        <v>103401</v>
      </c>
      <c r="X126" s="168" t="s">
        <v>672</v>
      </c>
      <c r="Y126" s="168" t="s">
        <v>462</v>
      </c>
      <c r="Z126" s="236" t="s">
        <v>539</v>
      </c>
      <c r="AA126" s="237" t="s">
        <v>537</v>
      </c>
      <c r="AB126" s="238">
        <v>3010</v>
      </c>
      <c r="AC126" s="168">
        <v>103401</v>
      </c>
      <c r="AD126" s="168" t="s">
        <v>672</v>
      </c>
    </row>
    <row r="127" spans="1:30">
      <c r="A127" s="227" t="s">
        <v>368</v>
      </c>
      <c r="B127" s="125">
        <v>7033</v>
      </c>
      <c r="C127" t="s">
        <v>537</v>
      </c>
      <c r="V127" s="238">
        <v>4625</v>
      </c>
      <c r="W127" s="168">
        <v>103534</v>
      </c>
      <c r="X127" s="168" t="s">
        <v>673</v>
      </c>
      <c r="Y127" s="168" t="s">
        <v>463</v>
      </c>
      <c r="Z127" s="236" t="s">
        <v>543</v>
      </c>
      <c r="AA127" s="237" t="s">
        <v>537</v>
      </c>
      <c r="AB127" s="238">
        <v>4625</v>
      </c>
      <c r="AC127" s="168">
        <v>103534</v>
      </c>
      <c r="AD127" s="168" t="s">
        <v>673</v>
      </c>
    </row>
    <row r="128" spans="1:30">
      <c r="A128" s="227" t="s">
        <v>369</v>
      </c>
      <c r="B128" s="125">
        <v>4177</v>
      </c>
      <c r="C128" t="s">
        <v>537</v>
      </c>
      <c r="V128" s="238">
        <v>3377</v>
      </c>
      <c r="W128" s="168">
        <v>103463</v>
      </c>
      <c r="X128" s="168" t="s">
        <v>582</v>
      </c>
      <c r="Y128" s="168" t="s">
        <v>373</v>
      </c>
      <c r="Z128" s="236" t="s">
        <v>539</v>
      </c>
      <c r="AA128" s="237" t="s">
        <v>537</v>
      </c>
      <c r="AB128" s="238">
        <v>3377</v>
      </c>
      <c r="AC128" s="168">
        <v>103463</v>
      </c>
      <c r="AD128" s="168" t="s">
        <v>582</v>
      </c>
    </row>
    <row r="129" spans="1:30">
      <c r="A129" s="228" t="s">
        <v>453</v>
      </c>
      <c r="B129" s="125">
        <v>2169</v>
      </c>
      <c r="C129" t="s">
        <v>537</v>
      </c>
      <c r="V129" s="238">
        <v>3371</v>
      </c>
      <c r="W129" s="168">
        <v>103459</v>
      </c>
      <c r="X129" s="168" t="s">
        <v>583</v>
      </c>
      <c r="Y129" s="168" t="s">
        <v>374</v>
      </c>
      <c r="Z129" s="236" t="s">
        <v>539</v>
      </c>
      <c r="AA129" s="237" t="s">
        <v>537</v>
      </c>
      <c r="AB129" s="238">
        <v>3371</v>
      </c>
      <c r="AC129" s="168">
        <v>103459</v>
      </c>
      <c r="AD129" s="168" t="s">
        <v>583</v>
      </c>
    </row>
    <row r="130" spans="1:30">
      <c r="A130" s="228" t="s">
        <v>507</v>
      </c>
      <c r="B130" s="125">
        <v>2008</v>
      </c>
      <c r="C130" t="s">
        <v>537</v>
      </c>
      <c r="V130" s="238">
        <v>3307</v>
      </c>
      <c r="W130" s="168">
        <v>103416</v>
      </c>
      <c r="X130" s="168" t="s">
        <v>674</v>
      </c>
      <c r="Y130" s="168" t="s">
        <v>464</v>
      </c>
      <c r="Z130" s="236" t="s">
        <v>539</v>
      </c>
      <c r="AA130" s="237" t="s">
        <v>537</v>
      </c>
      <c r="AB130" s="238">
        <v>3307</v>
      </c>
      <c r="AC130" s="168">
        <v>103416</v>
      </c>
      <c r="AD130" s="168" t="s">
        <v>674</v>
      </c>
    </row>
    <row r="131" spans="1:30">
      <c r="A131" s="228" t="s">
        <v>370</v>
      </c>
      <c r="B131" s="125">
        <v>1038</v>
      </c>
      <c r="C131" t="s">
        <v>537</v>
      </c>
      <c r="V131" s="238">
        <v>3361</v>
      </c>
      <c r="W131" s="168">
        <v>103453</v>
      </c>
      <c r="X131" s="168" t="s">
        <v>726</v>
      </c>
      <c r="Y131" s="168" t="s">
        <v>515</v>
      </c>
      <c r="Z131" s="236" t="s">
        <v>539</v>
      </c>
      <c r="AA131" s="237" t="s">
        <v>537</v>
      </c>
      <c r="AB131" s="238">
        <v>3361</v>
      </c>
      <c r="AC131" s="168">
        <v>103453</v>
      </c>
      <c r="AD131" s="168" t="s">
        <v>726</v>
      </c>
    </row>
    <row r="132" spans="1:30">
      <c r="A132" s="227" t="s">
        <v>371</v>
      </c>
      <c r="B132" s="125">
        <v>2174</v>
      </c>
      <c r="C132" t="s">
        <v>537</v>
      </c>
      <c r="V132" s="238">
        <v>3344</v>
      </c>
      <c r="W132" s="168">
        <v>103438</v>
      </c>
      <c r="X132" s="168" t="s">
        <v>727</v>
      </c>
      <c r="Y132" s="168" t="s">
        <v>516</v>
      </c>
      <c r="Z132" s="236" t="s">
        <v>539</v>
      </c>
      <c r="AA132" s="237" t="s">
        <v>537</v>
      </c>
      <c r="AB132" s="238">
        <v>3344</v>
      </c>
      <c r="AC132" s="168">
        <v>103438</v>
      </c>
      <c r="AD132" s="168" t="s">
        <v>727</v>
      </c>
    </row>
    <row r="133" spans="1:30">
      <c r="A133" s="228" t="s">
        <v>508</v>
      </c>
      <c r="B133" s="125">
        <v>2176</v>
      </c>
      <c r="C133" t="s">
        <v>537</v>
      </c>
      <c r="V133" s="238">
        <v>3025</v>
      </c>
      <c r="W133" s="168">
        <v>103410</v>
      </c>
      <c r="X133" s="168" t="s">
        <v>676</v>
      </c>
      <c r="Y133" s="168" t="s">
        <v>466</v>
      </c>
      <c r="Z133" s="236" t="s">
        <v>539</v>
      </c>
      <c r="AA133" s="237" t="s">
        <v>537</v>
      </c>
      <c r="AB133" s="238">
        <v>3025</v>
      </c>
      <c r="AC133" s="168">
        <v>103410</v>
      </c>
      <c r="AD133" s="168" t="s">
        <v>676</v>
      </c>
    </row>
    <row r="134" spans="1:30">
      <c r="A134" s="227" t="s">
        <v>454</v>
      </c>
      <c r="B134" s="125">
        <v>7047</v>
      </c>
      <c r="C134" t="s">
        <v>537</v>
      </c>
      <c r="V134" s="238">
        <v>3016</v>
      </c>
      <c r="W134" s="168">
        <v>103404</v>
      </c>
      <c r="X134" s="168" t="s">
        <v>584</v>
      </c>
      <c r="Y134" s="168" t="s">
        <v>375</v>
      </c>
      <c r="Z134" s="236" t="s">
        <v>539</v>
      </c>
      <c r="AA134" s="237" t="s">
        <v>537</v>
      </c>
      <c r="AB134" s="238">
        <v>3016</v>
      </c>
      <c r="AC134" s="168">
        <v>103404</v>
      </c>
      <c r="AD134" s="168" t="s">
        <v>584</v>
      </c>
    </row>
    <row r="135" spans="1:30">
      <c r="A135" s="228" t="s">
        <v>509</v>
      </c>
      <c r="B135" s="125">
        <v>3410</v>
      </c>
      <c r="C135" t="s">
        <v>537</v>
      </c>
      <c r="V135" s="238">
        <v>4606</v>
      </c>
      <c r="W135" s="168">
        <v>103531</v>
      </c>
      <c r="X135" s="168" t="s">
        <v>585</v>
      </c>
      <c r="Y135" s="168" t="s">
        <v>376</v>
      </c>
      <c r="Z135" s="236" t="s">
        <v>543</v>
      </c>
      <c r="AA135" s="237" t="s">
        <v>537</v>
      </c>
      <c r="AB135" s="238">
        <v>4606</v>
      </c>
      <c r="AC135" s="168">
        <v>103531</v>
      </c>
      <c r="AD135" s="168" t="s">
        <v>585</v>
      </c>
    </row>
    <row r="136" spans="1:30">
      <c r="A136" s="227" t="s">
        <v>455</v>
      </c>
      <c r="B136" s="125">
        <v>3381</v>
      </c>
      <c r="C136" t="s">
        <v>537</v>
      </c>
      <c r="V136" s="238">
        <v>3428</v>
      </c>
      <c r="W136" s="168">
        <v>134476</v>
      </c>
      <c r="X136" s="168" t="s">
        <v>586</v>
      </c>
      <c r="Y136" s="168" t="s">
        <v>377</v>
      </c>
      <c r="Z136" s="236" t="s">
        <v>539</v>
      </c>
      <c r="AA136" s="237" t="s">
        <v>537</v>
      </c>
      <c r="AB136" s="238">
        <v>3428</v>
      </c>
      <c r="AC136" s="168">
        <v>134476</v>
      </c>
      <c r="AD136" s="168" t="s">
        <v>586</v>
      </c>
    </row>
    <row r="137" spans="1:30">
      <c r="A137" s="227" t="s">
        <v>511</v>
      </c>
      <c r="B137" s="125">
        <v>3335</v>
      </c>
      <c r="C137" t="s">
        <v>537</v>
      </c>
      <c r="V137" s="238">
        <v>3019</v>
      </c>
      <c r="W137" s="168">
        <v>103406</v>
      </c>
      <c r="X137" s="168" t="s">
        <v>728</v>
      </c>
      <c r="Y137" s="168" t="s">
        <v>517</v>
      </c>
      <c r="Z137" s="236" t="s">
        <v>539</v>
      </c>
      <c r="AA137" s="237" t="s">
        <v>537</v>
      </c>
      <c r="AB137" s="238">
        <v>3019</v>
      </c>
      <c r="AC137" s="168">
        <v>103406</v>
      </c>
      <c r="AD137" s="168" t="s">
        <v>728</v>
      </c>
    </row>
    <row r="138" spans="1:30">
      <c r="A138" s="227" t="s">
        <v>457</v>
      </c>
      <c r="B138" s="125">
        <v>2183</v>
      </c>
      <c r="C138" t="s">
        <v>537</v>
      </c>
      <c r="V138" s="238">
        <v>2178</v>
      </c>
      <c r="W138" s="168">
        <v>103257</v>
      </c>
      <c r="X138" s="168" t="s">
        <v>729</v>
      </c>
      <c r="Y138" s="168" t="s">
        <v>518</v>
      </c>
      <c r="Z138" s="236" t="s">
        <v>539</v>
      </c>
      <c r="AA138" s="237" t="s">
        <v>537</v>
      </c>
      <c r="AB138" s="238">
        <v>2178</v>
      </c>
      <c r="AC138" s="168">
        <v>103257</v>
      </c>
      <c r="AD138" s="168" t="s">
        <v>729</v>
      </c>
    </row>
    <row r="139" spans="1:30">
      <c r="A139" s="227" t="s">
        <v>512</v>
      </c>
      <c r="B139" s="125">
        <v>3372</v>
      </c>
      <c r="C139" t="s">
        <v>537</v>
      </c>
      <c r="V139" s="238">
        <v>2184</v>
      </c>
      <c r="W139" s="168">
        <v>103262</v>
      </c>
      <c r="X139" s="168" t="s">
        <v>740</v>
      </c>
      <c r="Y139" s="168" t="s">
        <v>529</v>
      </c>
      <c r="Z139" s="236" t="s">
        <v>539</v>
      </c>
      <c r="AA139" s="237" t="s">
        <v>537</v>
      </c>
      <c r="AB139" s="238">
        <v>2184</v>
      </c>
      <c r="AC139" s="168">
        <v>103262</v>
      </c>
      <c r="AD139" s="168" t="s">
        <v>740</v>
      </c>
    </row>
    <row r="140" spans="1:30">
      <c r="A140" s="228" t="s">
        <v>390</v>
      </c>
      <c r="B140" s="125">
        <v>3375</v>
      </c>
      <c r="C140" t="s">
        <v>537</v>
      </c>
      <c r="V140" s="238">
        <v>2190</v>
      </c>
      <c r="W140" s="168">
        <v>103266</v>
      </c>
      <c r="X140" s="168" t="s">
        <v>730</v>
      </c>
      <c r="Y140" s="168" t="s">
        <v>519</v>
      </c>
      <c r="Z140" s="236" t="s">
        <v>539</v>
      </c>
      <c r="AA140" s="237" t="s">
        <v>537</v>
      </c>
      <c r="AB140" s="238">
        <v>2190</v>
      </c>
      <c r="AC140" s="168">
        <v>103266</v>
      </c>
      <c r="AD140" s="168" t="s">
        <v>730</v>
      </c>
    </row>
    <row r="141" spans="1:30">
      <c r="A141" s="227" t="s">
        <v>458</v>
      </c>
      <c r="B141" s="125">
        <v>3331</v>
      </c>
      <c r="C141" t="s">
        <v>537</v>
      </c>
      <c r="V141" s="238">
        <v>7035</v>
      </c>
      <c r="W141" s="168">
        <v>103615</v>
      </c>
      <c r="X141" s="168" t="s">
        <v>731</v>
      </c>
      <c r="Y141" s="168" t="s">
        <v>520</v>
      </c>
      <c r="Z141" s="236" t="s">
        <v>541</v>
      </c>
      <c r="AA141" s="237" t="s">
        <v>537</v>
      </c>
      <c r="AB141" s="238">
        <v>7035</v>
      </c>
      <c r="AC141" s="168">
        <v>103615</v>
      </c>
      <c r="AD141" s="168" t="s">
        <v>731</v>
      </c>
    </row>
    <row r="142" spans="1:30">
      <c r="A142" s="227" t="s">
        <v>460</v>
      </c>
      <c r="B142" s="125">
        <v>3386</v>
      </c>
      <c r="C142" t="s">
        <v>537</v>
      </c>
      <c r="V142" s="238">
        <v>7045</v>
      </c>
      <c r="W142" s="168">
        <v>103622</v>
      </c>
      <c r="X142" s="168" t="s">
        <v>732</v>
      </c>
      <c r="Y142" s="168" t="s">
        <v>521</v>
      </c>
      <c r="Z142" s="236" t="s">
        <v>541</v>
      </c>
      <c r="AA142" s="237" t="s">
        <v>537</v>
      </c>
      <c r="AB142" s="238">
        <v>7045</v>
      </c>
      <c r="AC142" s="168">
        <v>103622</v>
      </c>
      <c r="AD142" s="168" t="s">
        <v>732</v>
      </c>
    </row>
    <row r="143" spans="1:30">
      <c r="A143" s="227" t="s">
        <v>372</v>
      </c>
      <c r="B143" s="125">
        <v>3363</v>
      </c>
      <c r="C143" t="s">
        <v>537</v>
      </c>
      <c r="V143" s="238">
        <v>2192</v>
      </c>
      <c r="W143" s="168">
        <v>103268</v>
      </c>
      <c r="X143" s="168" t="s">
        <v>682</v>
      </c>
      <c r="Y143" s="168" t="s">
        <v>472</v>
      </c>
      <c r="Z143" s="236" t="s">
        <v>539</v>
      </c>
      <c r="AA143" s="237" t="s">
        <v>537</v>
      </c>
      <c r="AB143" s="238">
        <v>2192</v>
      </c>
      <c r="AC143" s="168">
        <v>103268</v>
      </c>
      <c r="AD143" s="168" t="s">
        <v>682</v>
      </c>
    </row>
    <row r="144" spans="1:30">
      <c r="A144" s="228" t="s">
        <v>513</v>
      </c>
      <c r="B144" s="125">
        <v>3355</v>
      </c>
      <c r="C144" t="s">
        <v>537</v>
      </c>
      <c r="V144" s="238">
        <v>7014</v>
      </c>
      <c r="W144" s="168">
        <v>103605</v>
      </c>
      <c r="X144" s="168" t="s">
        <v>588</v>
      </c>
      <c r="Y144" s="168" t="s">
        <v>379</v>
      </c>
      <c r="Z144" s="236" t="s">
        <v>541</v>
      </c>
      <c r="AA144" s="237" t="s">
        <v>537</v>
      </c>
      <c r="AB144" s="238">
        <v>7014</v>
      </c>
      <c r="AC144" s="168">
        <v>103605</v>
      </c>
      <c r="AD144" s="168" t="s">
        <v>588</v>
      </c>
    </row>
    <row r="145" spans="1:30">
      <c r="A145" s="227" t="s">
        <v>514</v>
      </c>
      <c r="B145" s="125">
        <v>3367</v>
      </c>
      <c r="C145" t="s">
        <v>537</v>
      </c>
      <c r="V145" s="238">
        <v>7009</v>
      </c>
      <c r="W145" s="168">
        <v>103601</v>
      </c>
      <c r="X145" s="168" t="s">
        <v>589</v>
      </c>
      <c r="Y145" s="168" t="s">
        <v>380</v>
      </c>
      <c r="Z145" s="236" t="s">
        <v>541</v>
      </c>
      <c r="AA145" s="237" t="s">
        <v>537</v>
      </c>
      <c r="AB145" s="238">
        <v>7009</v>
      </c>
      <c r="AC145" s="168">
        <v>103601</v>
      </c>
      <c r="AD145" s="168" t="s">
        <v>589</v>
      </c>
    </row>
    <row r="146" spans="1:30">
      <c r="A146" s="227" t="s">
        <v>462</v>
      </c>
      <c r="B146" s="125">
        <v>3010</v>
      </c>
      <c r="C146" t="s">
        <v>537</v>
      </c>
      <c r="V146" s="238">
        <v>5203</v>
      </c>
      <c r="W146" s="168">
        <v>103544</v>
      </c>
      <c r="X146" s="168" t="s">
        <v>590</v>
      </c>
      <c r="Y146" s="168" t="s">
        <v>381</v>
      </c>
      <c r="Z146" s="236" t="s">
        <v>539</v>
      </c>
      <c r="AA146" s="237" t="s">
        <v>537</v>
      </c>
      <c r="AB146" s="238">
        <v>5203</v>
      </c>
      <c r="AC146" s="168">
        <v>103544</v>
      </c>
      <c r="AD146" s="168" t="s">
        <v>590</v>
      </c>
    </row>
    <row r="147" spans="1:30">
      <c r="A147" s="228" t="s">
        <v>463</v>
      </c>
      <c r="B147" s="125">
        <v>4625</v>
      </c>
      <c r="C147" t="s">
        <v>537</v>
      </c>
      <c r="V147" s="238">
        <v>5202</v>
      </c>
      <c r="W147" s="168">
        <v>103543</v>
      </c>
      <c r="X147" s="168" t="s">
        <v>591</v>
      </c>
      <c r="Y147" s="168" t="s">
        <v>382</v>
      </c>
      <c r="Z147" s="236" t="s">
        <v>539</v>
      </c>
      <c r="AA147" s="237" t="s">
        <v>537</v>
      </c>
      <c r="AB147" s="238">
        <v>5202</v>
      </c>
      <c r="AC147" s="168">
        <v>103543</v>
      </c>
      <c r="AD147" s="168" t="s">
        <v>591</v>
      </c>
    </row>
    <row r="148" spans="1:30">
      <c r="A148" s="227" t="s">
        <v>373</v>
      </c>
      <c r="B148" s="125">
        <v>3377</v>
      </c>
      <c r="C148" t="s">
        <v>537</v>
      </c>
      <c r="V148" s="238">
        <v>2108</v>
      </c>
      <c r="W148" s="168">
        <v>103217</v>
      </c>
      <c r="X148" s="168" t="s">
        <v>683</v>
      </c>
      <c r="Y148" s="168" t="s">
        <v>473</v>
      </c>
      <c r="Z148" s="236" t="s">
        <v>539</v>
      </c>
      <c r="AA148" s="237" t="s">
        <v>537</v>
      </c>
      <c r="AB148" s="238">
        <v>2108</v>
      </c>
      <c r="AC148" s="168">
        <v>103217</v>
      </c>
      <c r="AD148" s="168" t="s">
        <v>683</v>
      </c>
    </row>
    <row r="149" spans="1:30">
      <c r="A149" s="227" t="s">
        <v>374</v>
      </c>
      <c r="B149" s="125">
        <v>3371</v>
      </c>
      <c r="C149" t="s">
        <v>537</v>
      </c>
      <c r="V149" s="238">
        <v>2306</v>
      </c>
      <c r="W149" s="168">
        <v>103326</v>
      </c>
      <c r="X149" s="168" t="s">
        <v>734</v>
      </c>
      <c r="Y149" s="168" t="s">
        <v>523</v>
      </c>
      <c r="Z149" s="236" t="s">
        <v>539</v>
      </c>
      <c r="AA149" s="237" t="s">
        <v>537</v>
      </c>
      <c r="AB149" s="238">
        <v>2306</v>
      </c>
      <c r="AC149" s="168">
        <v>103326</v>
      </c>
      <c r="AD149" s="168" t="s">
        <v>734</v>
      </c>
    </row>
    <row r="150" spans="1:30">
      <c r="A150" s="227" t="s">
        <v>464</v>
      </c>
      <c r="B150" s="125">
        <v>3307</v>
      </c>
      <c r="C150" t="s">
        <v>537</v>
      </c>
      <c r="V150" s="238">
        <v>2308</v>
      </c>
      <c r="W150" s="168">
        <v>103328</v>
      </c>
      <c r="X150" s="168" t="s">
        <v>592</v>
      </c>
      <c r="Y150" s="168" t="s">
        <v>383</v>
      </c>
      <c r="Z150" s="236" t="s">
        <v>539</v>
      </c>
      <c r="AA150" s="237" t="s">
        <v>537</v>
      </c>
      <c r="AB150" s="238">
        <v>2308</v>
      </c>
      <c r="AC150" s="168">
        <v>103328</v>
      </c>
      <c r="AD150" s="168" t="s">
        <v>592</v>
      </c>
    </row>
    <row r="151" spans="1:30">
      <c r="A151" s="228" t="s">
        <v>515</v>
      </c>
      <c r="B151" s="125">
        <v>3361</v>
      </c>
      <c r="C151" t="s">
        <v>537</v>
      </c>
      <c r="V151" s="238">
        <v>2245</v>
      </c>
      <c r="W151" s="168">
        <v>103295</v>
      </c>
      <c r="X151" s="168" t="s">
        <v>735</v>
      </c>
      <c r="Y151" s="168" t="s">
        <v>524</v>
      </c>
      <c r="Z151" s="236" t="s">
        <v>539</v>
      </c>
      <c r="AA151" s="237" t="s">
        <v>537</v>
      </c>
      <c r="AB151" s="238">
        <v>2245</v>
      </c>
      <c r="AC151" s="168">
        <v>103295</v>
      </c>
      <c r="AD151" s="168" t="s">
        <v>735</v>
      </c>
    </row>
    <row r="152" spans="1:30">
      <c r="A152" s="227" t="s">
        <v>465</v>
      </c>
      <c r="B152" s="125">
        <v>3382</v>
      </c>
      <c r="C152" t="s">
        <v>537</v>
      </c>
      <c r="V152" s="238">
        <v>1014</v>
      </c>
      <c r="W152" s="168">
        <v>103127</v>
      </c>
      <c r="X152" s="168" t="s">
        <v>685</v>
      </c>
      <c r="Y152" s="168" t="s">
        <v>475</v>
      </c>
      <c r="Z152" s="236" t="s">
        <v>536</v>
      </c>
      <c r="AA152" s="237" t="s">
        <v>537</v>
      </c>
      <c r="AB152" s="238">
        <v>1014</v>
      </c>
      <c r="AC152" s="168">
        <v>103127</v>
      </c>
      <c r="AD152" s="168" t="s">
        <v>685</v>
      </c>
    </row>
    <row r="153" spans="1:30">
      <c r="A153" s="227" t="s">
        <v>516</v>
      </c>
      <c r="B153" s="125">
        <v>3344</v>
      </c>
      <c r="C153" t="s">
        <v>537</v>
      </c>
      <c r="V153" s="238">
        <v>2011</v>
      </c>
      <c r="W153" s="168">
        <v>134099</v>
      </c>
      <c r="X153" s="168" t="s">
        <v>593</v>
      </c>
      <c r="Y153" s="168" t="s">
        <v>384</v>
      </c>
      <c r="Z153" s="236" t="s">
        <v>539</v>
      </c>
      <c r="AA153" s="237" t="s">
        <v>537</v>
      </c>
      <c r="AB153" s="238">
        <v>2011</v>
      </c>
      <c r="AC153" s="168">
        <v>134099</v>
      </c>
      <c r="AD153" s="168" t="s">
        <v>593</v>
      </c>
    </row>
    <row r="154" spans="1:30">
      <c r="A154" s="228" t="s">
        <v>466</v>
      </c>
      <c r="B154" s="125">
        <v>3025</v>
      </c>
      <c r="C154" t="s">
        <v>537</v>
      </c>
      <c r="V154" s="238">
        <v>4193</v>
      </c>
      <c r="W154" s="168">
        <v>103501</v>
      </c>
      <c r="X154" s="168" t="s">
        <v>594</v>
      </c>
      <c r="Y154" s="168" t="s">
        <v>385</v>
      </c>
      <c r="Z154" s="236" t="s">
        <v>543</v>
      </c>
      <c r="AA154" s="237" t="s">
        <v>537</v>
      </c>
      <c r="AB154" s="238">
        <v>4193</v>
      </c>
      <c r="AC154" s="168">
        <v>103501</v>
      </c>
      <c r="AD154" s="168" t="s">
        <v>594</v>
      </c>
    </row>
    <row r="155" spans="1:30">
      <c r="A155" s="227" t="s">
        <v>375</v>
      </c>
      <c r="B155" s="125">
        <v>3016</v>
      </c>
      <c r="C155" t="s">
        <v>537</v>
      </c>
      <c r="V155" s="238">
        <v>2478</v>
      </c>
      <c r="W155" s="168">
        <v>132007</v>
      </c>
      <c r="X155" s="168" t="s">
        <v>598</v>
      </c>
      <c r="Y155" s="168" t="s">
        <v>389</v>
      </c>
      <c r="Z155" s="236" t="s">
        <v>539</v>
      </c>
      <c r="AA155" s="237" t="s">
        <v>537</v>
      </c>
      <c r="AB155" s="238">
        <v>2478</v>
      </c>
      <c r="AC155" s="168">
        <v>132007</v>
      </c>
      <c r="AD155" s="168" t="s">
        <v>598</v>
      </c>
    </row>
    <row r="156" spans="1:30">
      <c r="A156" s="227" t="s">
        <v>467</v>
      </c>
      <c r="B156" s="125">
        <v>3346</v>
      </c>
      <c r="C156" t="s">
        <v>537</v>
      </c>
      <c r="V156" s="238">
        <v>2293</v>
      </c>
      <c r="W156" s="168">
        <v>103317</v>
      </c>
      <c r="X156" s="168" t="s">
        <v>595</v>
      </c>
      <c r="Y156" s="168" t="s">
        <v>386</v>
      </c>
      <c r="Z156" s="236" t="s">
        <v>539</v>
      </c>
      <c r="AA156" s="237" t="s">
        <v>537</v>
      </c>
      <c r="AB156" s="238">
        <v>2293</v>
      </c>
      <c r="AC156" s="168">
        <v>103317</v>
      </c>
      <c r="AD156" s="168" t="s">
        <v>595</v>
      </c>
    </row>
    <row r="157" spans="1:30">
      <c r="A157" s="227" t="s">
        <v>376</v>
      </c>
      <c r="B157" s="125">
        <v>4606</v>
      </c>
      <c r="C157" t="s">
        <v>537</v>
      </c>
      <c r="V157" s="238">
        <v>2278</v>
      </c>
      <c r="W157" s="168">
        <v>103310</v>
      </c>
      <c r="X157" s="168" t="s">
        <v>737</v>
      </c>
      <c r="Y157" s="168" t="s">
        <v>526</v>
      </c>
      <c r="Z157" s="236" t="s">
        <v>539</v>
      </c>
      <c r="AA157" s="237" t="s">
        <v>537</v>
      </c>
      <c r="AB157" s="238">
        <v>2278</v>
      </c>
      <c r="AC157" s="168">
        <v>103310</v>
      </c>
      <c r="AD157" s="168" t="s">
        <v>737</v>
      </c>
    </row>
    <row r="158" spans="1:30">
      <c r="A158" s="227" t="s">
        <v>377</v>
      </c>
      <c r="B158" s="125">
        <v>3428</v>
      </c>
      <c r="C158" t="s">
        <v>537</v>
      </c>
      <c r="V158" s="238">
        <v>2317</v>
      </c>
      <c r="W158" s="168">
        <v>103337</v>
      </c>
      <c r="X158" s="168" t="s">
        <v>738</v>
      </c>
      <c r="Y158" s="168" t="s">
        <v>527</v>
      </c>
      <c r="Z158" s="236" t="s">
        <v>539</v>
      </c>
      <c r="AA158" s="237" t="s">
        <v>537</v>
      </c>
      <c r="AB158" s="238">
        <v>2317</v>
      </c>
      <c r="AC158" s="168">
        <v>103337</v>
      </c>
      <c r="AD158" s="168" t="s">
        <v>738</v>
      </c>
    </row>
    <row r="159" spans="1:30">
      <c r="A159" s="228" t="s">
        <v>517</v>
      </c>
      <c r="B159" s="125">
        <v>3019</v>
      </c>
      <c r="C159" t="s">
        <v>537</v>
      </c>
      <c r="V159" s="238">
        <v>2225</v>
      </c>
      <c r="W159" s="168">
        <v>103279</v>
      </c>
      <c r="X159" s="168" t="s">
        <v>596</v>
      </c>
      <c r="Y159" s="168" t="s">
        <v>387</v>
      </c>
      <c r="Z159" s="236" t="s">
        <v>539</v>
      </c>
      <c r="AA159" s="237" t="s">
        <v>537</v>
      </c>
      <c r="AB159" s="238">
        <v>2225</v>
      </c>
      <c r="AC159" s="168">
        <v>103279</v>
      </c>
      <c r="AD159" s="168" t="s">
        <v>596</v>
      </c>
    </row>
    <row r="160" spans="1:30">
      <c r="A160" s="227" t="s">
        <v>469</v>
      </c>
      <c r="B160" s="125">
        <v>1009</v>
      </c>
      <c r="C160" t="s">
        <v>537</v>
      </c>
      <c r="V160" s="238">
        <v>2412</v>
      </c>
      <c r="W160" s="168">
        <v>103349</v>
      </c>
      <c r="X160" s="168" t="s">
        <v>597</v>
      </c>
      <c r="Y160" s="168" t="s">
        <v>388</v>
      </c>
      <c r="Z160" s="236" t="s">
        <v>539</v>
      </c>
      <c r="AA160" s="237" t="s">
        <v>537</v>
      </c>
      <c r="AB160" s="238">
        <v>2412</v>
      </c>
      <c r="AC160" s="168">
        <v>103349</v>
      </c>
      <c r="AD160" s="168" t="s">
        <v>597</v>
      </c>
    </row>
    <row r="161" spans="1:30">
      <c r="A161" s="227" t="s">
        <v>518</v>
      </c>
      <c r="B161" s="125">
        <v>2178</v>
      </c>
      <c r="C161" t="s">
        <v>537</v>
      </c>
      <c r="V161" s="238">
        <v>3421</v>
      </c>
      <c r="W161" s="168">
        <v>133996</v>
      </c>
      <c r="X161" s="168" t="s">
        <v>739</v>
      </c>
      <c r="Y161" s="168" t="s">
        <v>528</v>
      </c>
      <c r="Z161" s="236" t="s">
        <v>539</v>
      </c>
      <c r="AA161" s="237" t="s">
        <v>537</v>
      </c>
      <c r="AB161" s="238">
        <v>3421</v>
      </c>
      <c r="AC161" s="168">
        <v>133996</v>
      </c>
      <c r="AD161" s="168" t="s">
        <v>739</v>
      </c>
    </row>
    <row r="162" spans="1:30">
      <c r="A162" s="227" t="s">
        <v>529</v>
      </c>
      <c r="B162" s="125">
        <v>2184</v>
      </c>
      <c r="C162" t="s">
        <v>537</v>
      </c>
      <c r="V162" s="238">
        <v>2227</v>
      </c>
      <c r="W162" s="168">
        <v>103281</v>
      </c>
      <c r="X162" s="168" t="s">
        <v>688</v>
      </c>
      <c r="Y162" s="168" t="s">
        <v>478</v>
      </c>
      <c r="Z162" s="236" t="s">
        <v>539</v>
      </c>
      <c r="AA162" s="237" t="s">
        <v>537</v>
      </c>
      <c r="AB162" s="238">
        <v>2227</v>
      </c>
      <c r="AC162" s="168">
        <v>103281</v>
      </c>
      <c r="AD162" s="168" t="s">
        <v>688</v>
      </c>
    </row>
    <row r="163" spans="1:30">
      <c r="A163" s="228" t="s">
        <v>519</v>
      </c>
      <c r="B163" s="125">
        <v>2190</v>
      </c>
      <c r="C163" t="s">
        <v>537</v>
      </c>
      <c r="V163" s="238">
        <v>2231</v>
      </c>
      <c r="W163" s="168">
        <v>103284</v>
      </c>
      <c r="X163" s="168" t="s">
        <v>689</v>
      </c>
      <c r="Y163" s="168" t="s">
        <v>479</v>
      </c>
      <c r="Z163" s="236" t="s">
        <v>539</v>
      </c>
      <c r="AA163" s="237" t="s">
        <v>537</v>
      </c>
      <c r="AB163" s="238">
        <v>2231</v>
      </c>
      <c r="AC163" s="168">
        <v>103284</v>
      </c>
      <c r="AD163" s="168" t="s">
        <v>689</v>
      </c>
    </row>
    <row r="164" spans="1:30">
      <c r="A164" s="228" t="s">
        <v>520</v>
      </c>
      <c r="B164" s="125">
        <v>7035</v>
      </c>
      <c r="C164" t="s">
        <v>537</v>
      </c>
      <c r="V164" s="238">
        <v>2014</v>
      </c>
      <c r="W164" s="168">
        <v>103162</v>
      </c>
      <c r="X164" s="168" t="s">
        <v>607</v>
      </c>
      <c r="Y164" s="168" t="s">
        <v>397</v>
      </c>
      <c r="Z164" s="236" t="s">
        <v>539</v>
      </c>
      <c r="AA164" s="237" t="s">
        <v>537</v>
      </c>
      <c r="AB164" s="238">
        <v>2014</v>
      </c>
      <c r="AC164" s="168">
        <v>103162</v>
      </c>
      <c r="AD164" s="168" t="s">
        <v>607</v>
      </c>
    </row>
    <row r="165" spans="1:30">
      <c r="A165" s="228" t="s">
        <v>521</v>
      </c>
      <c r="B165" s="125">
        <v>7045</v>
      </c>
      <c r="C165" t="s">
        <v>537</v>
      </c>
      <c r="V165" s="238">
        <v>2456</v>
      </c>
      <c r="W165" s="168">
        <v>103383</v>
      </c>
      <c r="X165" s="168" t="s">
        <v>612</v>
      </c>
      <c r="Y165" s="168" t="s">
        <v>402</v>
      </c>
      <c r="Z165" s="236" t="s">
        <v>539</v>
      </c>
      <c r="AA165" s="237" t="s">
        <v>537</v>
      </c>
      <c r="AB165" s="238">
        <v>2456</v>
      </c>
      <c r="AC165" s="168">
        <v>103383</v>
      </c>
      <c r="AD165" s="168" t="s">
        <v>612</v>
      </c>
    </row>
    <row r="166" spans="1:30">
      <c r="A166" s="227" t="s">
        <v>472</v>
      </c>
      <c r="B166" s="125">
        <v>2192</v>
      </c>
      <c r="C166" t="s">
        <v>537</v>
      </c>
      <c r="V166" s="238">
        <v>2254</v>
      </c>
      <c r="W166" s="168">
        <v>103300</v>
      </c>
      <c r="X166" s="168" t="s">
        <v>613</v>
      </c>
      <c r="Y166" s="168" t="s">
        <v>403</v>
      </c>
      <c r="Z166" s="236" t="s">
        <v>539</v>
      </c>
      <c r="AA166" s="237" t="s">
        <v>537</v>
      </c>
      <c r="AB166" s="238">
        <v>2254</v>
      </c>
      <c r="AC166" s="168">
        <v>103300</v>
      </c>
      <c r="AD166" s="168" t="s">
        <v>613</v>
      </c>
    </row>
    <row r="167" spans="1:30">
      <c r="A167" s="228" t="s">
        <v>379</v>
      </c>
      <c r="B167" s="125">
        <v>7014</v>
      </c>
      <c r="C167" t="s">
        <v>537</v>
      </c>
      <c r="V167" s="238">
        <v>1001</v>
      </c>
      <c r="W167" s="168">
        <v>103120</v>
      </c>
      <c r="X167" s="168" t="s">
        <v>693</v>
      </c>
      <c r="Y167" s="168" t="s">
        <v>483</v>
      </c>
      <c r="Z167" s="236" t="s">
        <v>536</v>
      </c>
      <c r="AA167" s="237" t="s">
        <v>537</v>
      </c>
      <c r="AB167" s="238">
        <v>1001</v>
      </c>
      <c r="AC167" s="168">
        <v>103120</v>
      </c>
      <c r="AD167" s="168" t="s">
        <v>693</v>
      </c>
    </row>
    <row r="168" spans="1:30">
      <c r="A168" s="228" t="s">
        <v>380</v>
      </c>
      <c r="B168" s="125">
        <v>7009</v>
      </c>
      <c r="C168" t="s">
        <v>537</v>
      </c>
      <c r="V168" s="238">
        <v>2464</v>
      </c>
      <c r="W168" s="168">
        <v>103390</v>
      </c>
      <c r="X168" s="168" t="s">
        <v>701</v>
      </c>
      <c r="Y168" s="168" t="s">
        <v>490</v>
      </c>
      <c r="Z168" s="236" t="s">
        <v>539</v>
      </c>
      <c r="AA168" s="237" t="s">
        <v>537</v>
      </c>
      <c r="AB168" s="238">
        <v>2464</v>
      </c>
      <c r="AC168" s="168">
        <v>103390</v>
      </c>
      <c r="AD168" s="168" t="s">
        <v>701</v>
      </c>
    </row>
    <row r="169" spans="1:30">
      <c r="A169" s="228" t="s">
        <v>381</v>
      </c>
      <c r="B169" s="125">
        <v>5203</v>
      </c>
      <c r="C169" t="s">
        <v>537</v>
      </c>
      <c r="V169" s="238">
        <v>1802</v>
      </c>
      <c r="W169" s="168">
        <v>103150</v>
      </c>
      <c r="X169" s="168" t="s">
        <v>604</v>
      </c>
      <c r="Y169" s="168" t="s">
        <v>394</v>
      </c>
      <c r="Z169" s="236" t="s">
        <v>536</v>
      </c>
      <c r="AA169" s="237" t="s">
        <v>537</v>
      </c>
      <c r="AB169" s="238">
        <v>1802</v>
      </c>
      <c r="AC169" s="168">
        <v>103150</v>
      </c>
      <c r="AD169" s="168" t="s">
        <v>604</v>
      </c>
    </row>
    <row r="170" spans="1:30">
      <c r="A170" s="227" t="s">
        <v>382</v>
      </c>
      <c r="B170" s="125">
        <v>5202</v>
      </c>
      <c r="C170" t="s">
        <v>537</v>
      </c>
      <c r="V170" s="238">
        <v>2091</v>
      </c>
      <c r="W170" s="168">
        <v>103208</v>
      </c>
      <c r="X170" s="168" t="s">
        <v>628</v>
      </c>
      <c r="Y170" s="168" t="s">
        <v>418</v>
      </c>
      <c r="Z170" s="236" t="s">
        <v>539</v>
      </c>
      <c r="AA170" s="237" t="s">
        <v>537</v>
      </c>
      <c r="AB170" s="238">
        <v>2091</v>
      </c>
      <c r="AC170" s="168">
        <v>103208</v>
      </c>
      <c r="AD170" s="168" t="s">
        <v>628</v>
      </c>
    </row>
    <row r="171" spans="1:30">
      <c r="A171" s="228" t="s">
        <v>473</v>
      </c>
      <c r="B171" s="125">
        <v>2108</v>
      </c>
      <c r="C171" t="s">
        <v>537</v>
      </c>
      <c r="V171" s="238">
        <v>2477</v>
      </c>
      <c r="W171" s="168">
        <v>132261</v>
      </c>
      <c r="X171" s="168" t="s">
        <v>630</v>
      </c>
      <c r="Y171" s="168" t="s">
        <v>420</v>
      </c>
      <c r="Z171" s="236" t="s">
        <v>539</v>
      </c>
      <c r="AA171" s="237" t="s">
        <v>537</v>
      </c>
      <c r="AB171" s="238">
        <v>2477</v>
      </c>
      <c r="AC171" s="168">
        <v>132261</v>
      </c>
      <c r="AD171" s="168" t="s">
        <v>630</v>
      </c>
    </row>
    <row r="172" spans="1:30">
      <c r="A172" s="228" t="s">
        <v>522</v>
      </c>
      <c r="B172" s="125">
        <v>1019</v>
      </c>
      <c r="C172" t="s">
        <v>537</v>
      </c>
      <c r="V172" s="238">
        <v>3436</v>
      </c>
      <c r="W172" s="168">
        <v>136440</v>
      </c>
      <c r="X172" s="168" t="s">
        <v>631</v>
      </c>
      <c r="Y172" s="168" t="s">
        <v>421</v>
      </c>
      <c r="Z172" s="236" t="s">
        <v>539</v>
      </c>
      <c r="AA172" s="237" t="s">
        <v>537</v>
      </c>
      <c r="AB172" s="238">
        <v>3436</v>
      </c>
      <c r="AC172" s="168">
        <v>136440</v>
      </c>
      <c r="AD172" s="168" t="s">
        <v>631</v>
      </c>
    </row>
    <row r="173" spans="1:30">
      <c r="A173" s="227" t="s">
        <v>523</v>
      </c>
      <c r="B173" s="125">
        <v>2306</v>
      </c>
      <c r="C173" t="s">
        <v>537</v>
      </c>
      <c r="V173" s="238">
        <v>2474</v>
      </c>
      <c r="W173" s="168">
        <v>131672</v>
      </c>
      <c r="X173" s="168" t="s">
        <v>634</v>
      </c>
      <c r="Y173" s="168" t="s">
        <v>424</v>
      </c>
      <c r="Z173" s="236" t="s">
        <v>539</v>
      </c>
      <c r="AA173" s="237" t="s">
        <v>537</v>
      </c>
      <c r="AB173" s="238">
        <v>2474</v>
      </c>
      <c r="AC173" s="168">
        <v>131672</v>
      </c>
      <c r="AD173" s="168" t="s">
        <v>634</v>
      </c>
    </row>
    <row r="174" spans="1:30">
      <c r="A174" s="227" t="s">
        <v>383</v>
      </c>
      <c r="B174" s="125">
        <v>2308</v>
      </c>
      <c r="C174" t="s">
        <v>537</v>
      </c>
      <c r="V174" s="238">
        <v>3352</v>
      </c>
      <c r="W174" s="168">
        <v>103444</v>
      </c>
      <c r="X174" s="168" t="s">
        <v>637</v>
      </c>
      <c r="Y174" s="168" t="s">
        <v>427</v>
      </c>
      <c r="Z174" s="236" t="s">
        <v>539</v>
      </c>
      <c r="AA174" s="237" t="s">
        <v>537</v>
      </c>
      <c r="AB174" s="238">
        <v>3352</v>
      </c>
      <c r="AC174" s="168">
        <v>103444</v>
      </c>
      <c r="AD174" s="168" t="s">
        <v>637</v>
      </c>
    </row>
    <row r="175" spans="1:30">
      <c r="A175" s="227" t="s">
        <v>524</v>
      </c>
      <c r="B175" s="125">
        <v>2245</v>
      </c>
      <c r="C175" t="s">
        <v>537</v>
      </c>
      <c r="V175" s="238">
        <v>2005</v>
      </c>
      <c r="W175" s="168">
        <v>134098</v>
      </c>
      <c r="X175" s="168" t="s">
        <v>638</v>
      </c>
      <c r="Y175" s="168" t="s">
        <v>428</v>
      </c>
      <c r="Z175" s="236" t="s">
        <v>539</v>
      </c>
      <c r="AA175" s="237" t="s">
        <v>537</v>
      </c>
      <c r="AB175" s="238">
        <v>2005</v>
      </c>
      <c r="AC175" s="168">
        <v>134098</v>
      </c>
      <c r="AD175" s="168" t="s">
        <v>638</v>
      </c>
    </row>
    <row r="176" spans="1:30">
      <c r="A176" s="227" t="s">
        <v>474</v>
      </c>
      <c r="B176" s="125">
        <v>1020</v>
      </c>
      <c r="C176" t="s">
        <v>537</v>
      </c>
      <c r="V176" s="238">
        <v>2189</v>
      </c>
      <c r="W176" s="168">
        <v>103265</v>
      </c>
      <c r="X176" s="168" t="s">
        <v>709</v>
      </c>
      <c r="Y176" s="168" t="s">
        <v>498</v>
      </c>
      <c r="Z176" s="236" t="s">
        <v>539</v>
      </c>
      <c r="AA176" s="237" t="s">
        <v>537</v>
      </c>
      <c r="AB176" s="238">
        <v>2189</v>
      </c>
      <c r="AC176" s="168">
        <v>103265</v>
      </c>
      <c r="AD176" s="168" t="s">
        <v>709</v>
      </c>
    </row>
    <row r="177" spans="1:30">
      <c r="A177" s="227" t="s">
        <v>475</v>
      </c>
      <c r="B177" s="125">
        <v>1014</v>
      </c>
      <c r="C177" t="s">
        <v>537</v>
      </c>
      <c r="V177" s="238">
        <v>7060</v>
      </c>
      <c r="W177" s="168">
        <v>103630</v>
      </c>
      <c r="X177" s="168" t="s">
        <v>710</v>
      </c>
      <c r="Y177" s="168" t="s">
        <v>499</v>
      </c>
      <c r="Z177" s="236" t="s">
        <v>541</v>
      </c>
      <c r="AA177" s="237" t="s">
        <v>537</v>
      </c>
      <c r="AB177" s="238">
        <v>7060</v>
      </c>
      <c r="AC177" s="168">
        <v>103630</v>
      </c>
      <c r="AD177" s="168" t="s">
        <v>710</v>
      </c>
    </row>
    <row r="178" spans="1:30">
      <c r="A178" s="227" t="s">
        <v>476</v>
      </c>
      <c r="B178" s="125">
        <v>2019</v>
      </c>
      <c r="C178" t="s">
        <v>537</v>
      </c>
      <c r="V178" s="238">
        <v>1024</v>
      </c>
      <c r="W178" s="168">
        <v>103137</v>
      </c>
      <c r="X178" s="168" t="s">
        <v>643</v>
      </c>
      <c r="Y178" s="168" t="s">
        <v>433</v>
      </c>
      <c r="Z178" s="236" t="s">
        <v>536</v>
      </c>
      <c r="AA178" s="237" t="s">
        <v>537</v>
      </c>
      <c r="AB178" s="238">
        <v>1024</v>
      </c>
      <c r="AC178" s="168">
        <v>103137</v>
      </c>
      <c r="AD178" s="168" t="s">
        <v>643</v>
      </c>
    </row>
    <row r="179" spans="1:30">
      <c r="A179" s="227" t="s">
        <v>384</v>
      </c>
      <c r="B179" s="125">
        <v>2011</v>
      </c>
      <c r="C179" t="s">
        <v>537</v>
      </c>
      <c r="V179" s="238">
        <v>2004</v>
      </c>
      <c r="W179" s="168">
        <v>134094</v>
      </c>
      <c r="X179" s="168" t="s">
        <v>645</v>
      </c>
      <c r="Y179" s="168" t="s">
        <v>435</v>
      </c>
      <c r="Z179" s="236" t="s">
        <v>539</v>
      </c>
      <c r="AA179" s="237" t="s">
        <v>537</v>
      </c>
      <c r="AB179" s="238">
        <v>2004</v>
      </c>
      <c r="AC179" s="168">
        <v>134094</v>
      </c>
      <c r="AD179" s="168" t="s">
        <v>645</v>
      </c>
    </row>
    <row r="180" spans="1:30">
      <c r="A180" s="227" t="s">
        <v>385</v>
      </c>
      <c r="B180" s="125">
        <v>4193</v>
      </c>
      <c r="C180" t="s">
        <v>537</v>
      </c>
      <c r="V180" s="238">
        <v>1028</v>
      </c>
      <c r="W180" s="168">
        <v>103141</v>
      </c>
      <c r="X180" s="168" t="s">
        <v>652</v>
      </c>
      <c r="Y180" s="168" t="s">
        <v>442</v>
      </c>
      <c r="Z180" s="236" t="s">
        <v>536</v>
      </c>
      <c r="AA180" s="237" t="s">
        <v>537</v>
      </c>
      <c r="AB180" s="238">
        <v>1028</v>
      </c>
      <c r="AC180" s="168">
        <v>103141</v>
      </c>
      <c r="AD180" s="168" t="s">
        <v>652</v>
      </c>
    </row>
    <row r="181" spans="1:30">
      <c r="A181" s="227" t="s">
        <v>389</v>
      </c>
      <c r="B181" s="125">
        <v>2478</v>
      </c>
      <c r="C181" t="s">
        <v>537</v>
      </c>
      <c r="V181" s="238">
        <v>2150</v>
      </c>
      <c r="W181" s="168">
        <v>103241</v>
      </c>
      <c r="X181" s="168" t="s">
        <v>654</v>
      </c>
      <c r="Y181" s="168" t="s">
        <v>444</v>
      </c>
      <c r="Z181" s="236" t="s">
        <v>539</v>
      </c>
      <c r="AA181" s="237" t="s">
        <v>537</v>
      </c>
      <c r="AB181" s="238">
        <v>2150</v>
      </c>
      <c r="AC181" s="168">
        <v>103241</v>
      </c>
      <c r="AD181" s="168" t="s">
        <v>654</v>
      </c>
    </row>
    <row r="182" spans="1:30">
      <c r="A182" s="227" t="s">
        <v>386</v>
      </c>
      <c r="B182" s="125">
        <v>2293</v>
      </c>
      <c r="C182" t="s">
        <v>537</v>
      </c>
      <c r="V182" s="238">
        <v>2425</v>
      </c>
      <c r="W182" s="168">
        <v>103356</v>
      </c>
      <c r="X182" s="168" t="s">
        <v>655</v>
      </c>
      <c r="Y182" s="168" t="s">
        <v>445</v>
      </c>
      <c r="Z182" s="236" t="s">
        <v>539</v>
      </c>
      <c r="AA182" s="237" t="s">
        <v>537</v>
      </c>
      <c r="AB182" s="238">
        <v>2425</v>
      </c>
      <c r="AC182" s="168">
        <v>103356</v>
      </c>
      <c r="AD182" s="168" t="s">
        <v>655</v>
      </c>
    </row>
    <row r="183" spans="1:30">
      <c r="A183" s="227" t="s">
        <v>525</v>
      </c>
      <c r="B183" s="125">
        <v>2445</v>
      </c>
      <c r="C183" t="s">
        <v>537</v>
      </c>
      <c r="V183" s="238">
        <v>7034</v>
      </c>
      <c r="W183" s="168">
        <v>103614</v>
      </c>
      <c r="X183" s="168" t="s">
        <v>657</v>
      </c>
      <c r="Y183" s="168" t="s">
        <v>447</v>
      </c>
      <c r="Z183" s="236" t="s">
        <v>541</v>
      </c>
      <c r="AA183" s="237" t="s">
        <v>537</v>
      </c>
      <c r="AB183" s="238">
        <v>7034</v>
      </c>
      <c r="AC183" s="168">
        <v>103614</v>
      </c>
      <c r="AD183" s="168" t="s">
        <v>657</v>
      </c>
    </row>
    <row r="184" spans="1:30">
      <c r="A184" s="227" t="s">
        <v>526</v>
      </c>
      <c r="B184" s="125">
        <v>2278</v>
      </c>
      <c r="C184" t="s">
        <v>537</v>
      </c>
      <c r="V184" s="238">
        <v>1000</v>
      </c>
      <c r="W184" s="168">
        <v>137796</v>
      </c>
      <c r="X184" s="168" t="s">
        <v>662</v>
      </c>
      <c r="Y184" s="168" t="s">
        <v>452</v>
      </c>
      <c r="Z184" s="236" t="s">
        <v>536</v>
      </c>
      <c r="AA184" s="237" t="s">
        <v>537</v>
      </c>
      <c r="AB184" s="238">
        <v>1000</v>
      </c>
      <c r="AC184" s="168">
        <v>137796</v>
      </c>
      <c r="AD184" s="168" t="s">
        <v>662</v>
      </c>
    </row>
    <row r="185" spans="1:30">
      <c r="A185" s="227" t="s">
        <v>527</v>
      </c>
      <c r="B185" s="125">
        <v>2317</v>
      </c>
      <c r="C185" t="s">
        <v>537</v>
      </c>
      <c r="V185" s="238">
        <v>3382</v>
      </c>
      <c r="W185" s="168">
        <v>103467</v>
      </c>
      <c r="X185" s="168" t="s">
        <v>675</v>
      </c>
      <c r="Y185" s="168" t="s">
        <v>465</v>
      </c>
      <c r="Z185" s="236" t="s">
        <v>539</v>
      </c>
      <c r="AA185" s="237" t="s">
        <v>537</v>
      </c>
      <c r="AB185" s="238">
        <v>3382</v>
      </c>
      <c r="AC185" s="168">
        <v>103467</v>
      </c>
      <c r="AD185" s="168" t="s">
        <v>675</v>
      </c>
    </row>
    <row r="186" spans="1:30">
      <c r="A186" s="227" t="s">
        <v>387</v>
      </c>
      <c r="B186" s="125">
        <v>2225</v>
      </c>
      <c r="C186" t="s">
        <v>537</v>
      </c>
      <c r="V186" s="238">
        <v>3346</v>
      </c>
      <c r="W186" s="168">
        <v>103439</v>
      </c>
      <c r="X186" s="168" t="s">
        <v>677</v>
      </c>
      <c r="Y186" s="168" t="s">
        <v>467</v>
      </c>
      <c r="Z186" s="236" t="s">
        <v>539</v>
      </c>
      <c r="AA186" s="237" t="s">
        <v>537</v>
      </c>
      <c r="AB186" s="238">
        <v>3346</v>
      </c>
      <c r="AC186" s="168">
        <v>103439</v>
      </c>
      <c r="AD186" s="168" t="s">
        <v>677</v>
      </c>
    </row>
    <row r="187" spans="1:30">
      <c r="A187" s="227" t="s">
        <v>388</v>
      </c>
      <c r="B187" s="125">
        <v>2412</v>
      </c>
      <c r="C187" t="s">
        <v>537</v>
      </c>
      <c r="V187" s="238">
        <v>1009</v>
      </c>
      <c r="W187" s="168">
        <v>103124</v>
      </c>
      <c r="X187" s="168" t="s">
        <v>679</v>
      </c>
      <c r="Y187" s="168" t="s">
        <v>469</v>
      </c>
      <c r="Z187" s="236" t="s">
        <v>536</v>
      </c>
      <c r="AA187" s="237" t="s">
        <v>537</v>
      </c>
      <c r="AB187" s="238">
        <v>1009</v>
      </c>
      <c r="AC187" s="168">
        <v>103124</v>
      </c>
      <c r="AD187" s="168" t="s">
        <v>679</v>
      </c>
    </row>
    <row r="188" spans="1:30">
      <c r="A188" s="227" t="s">
        <v>528</v>
      </c>
      <c r="B188" s="125">
        <v>3421</v>
      </c>
      <c r="C188" t="s">
        <v>537</v>
      </c>
      <c r="V188" s="238">
        <v>1019</v>
      </c>
      <c r="W188" s="168">
        <v>103132</v>
      </c>
      <c r="X188" s="168" t="s">
        <v>733</v>
      </c>
      <c r="Y188" s="168" t="s">
        <v>522</v>
      </c>
      <c r="Z188" s="236" t="s">
        <v>536</v>
      </c>
      <c r="AA188" s="237" t="s">
        <v>537</v>
      </c>
      <c r="AB188" s="238">
        <v>1019</v>
      </c>
      <c r="AC188" s="168">
        <v>103132</v>
      </c>
      <c r="AD188" s="168" t="s">
        <v>733</v>
      </c>
    </row>
    <row r="189" spans="1:30">
      <c r="A189" s="228" t="s">
        <v>478</v>
      </c>
      <c r="B189" s="125">
        <v>2227</v>
      </c>
      <c r="C189" t="s">
        <v>537</v>
      </c>
      <c r="V189" s="238">
        <v>1020</v>
      </c>
      <c r="W189" s="168">
        <v>103133</v>
      </c>
      <c r="X189" s="168" t="s">
        <v>684</v>
      </c>
      <c r="Y189" s="168" t="s">
        <v>474</v>
      </c>
      <c r="Z189" s="236" t="s">
        <v>536</v>
      </c>
      <c r="AA189" s="237" t="s">
        <v>537</v>
      </c>
      <c r="AB189" s="238">
        <v>1020</v>
      </c>
      <c r="AC189" s="168">
        <v>103133</v>
      </c>
      <c r="AD189" s="168" t="s">
        <v>684</v>
      </c>
    </row>
    <row r="190" spans="1:30">
      <c r="A190" s="227" t="s">
        <v>479</v>
      </c>
      <c r="B190" s="125">
        <v>2231</v>
      </c>
      <c r="C190" t="s">
        <v>537</v>
      </c>
      <c r="V190" s="238">
        <v>2019</v>
      </c>
      <c r="W190" s="168">
        <v>134279</v>
      </c>
      <c r="X190" s="168" t="s">
        <v>686</v>
      </c>
      <c r="Y190" s="168" t="s">
        <v>476</v>
      </c>
      <c r="Z190" s="236" t="s">
        <v>539</v>
      </c>
      <c r="AA190" s="237" t="s">
        <v>537</v>
      </c>
      <c r="AB190" s="238">
        <v>2019</v>
      </c>
      <c r="AC190" s="168">
        <v>134279</v>
      </c>
      <c r="AD190" s="168" t="s">
        <v>686</v>
      </c>
    </row>
    <row r="191" spans="1:30">
      <c r="A191" s="227"/>
      <c r="B191" s="125"/>
      <c r="V191" s="238">
        <v>2445</v>
      </c>
      <c r="W191" s="168">
        <v>103372</v>
      </c>
      <c r="X191" s="168" t="s">
        <v>736</v>
      </c>
      <c r="Y191" s="168" t="s">
        <v>525</v>
      </c>
      <c r="Z191" s="236" t="s">
        <v>539</v>
      </c>
      <c r="AA191" s="237" t="s">
        <v>537</v>
      </c>
      <c r="AB191" s="238">
        <v>2445</v>
      </c>
      <c r="AC191" s="168">
        <v>103372</v>
      </c>
      <c r="AD191" s="168" t="s">
        <v>736</v>
      </c>
    </row>
    <row r="192" spans="1:30">
      <c r="A192" s="227"/>
      <c r="B192" s="125"/>
      <c r="V192" s="238">
        <v>7052</v>
      </c>
      <c r="W192" s="168">
        <v>103627</v>
      </c>
      <c r="X192" s="168" t="s">
        <v>608</v>
      </c>
      <c r="Y192" s="168" t="s">
        <v>398</v>
      </c>
      <c r="Z192" s="236" t="s">
        <v>541</v>
      </c>
      <c r="AA192" s="237" t="s">
        <v>537</v>
      </c>
      <c r="AB192" s="238">
        <v>7052</v>
      </c>
      <c r="AC192" s="168">
        <v>103627</v>
      </c>
      <c r="AD192" s="168" t="s">
        <v>608</v>
      </c>
    </row>
    <row r="193" spans="1:30">
      <c r="A193" s="227"/>
      <c r="B193" s="125"/>
      <c r="V193" s="238">
        <v>2079</v>
      </c>
      <c r="W193" s="168">
        <v>103200</v>
      </c>
      <c r="X193" s="168" t="s">
        <v>623</v>
      </c>
      <c r="Y193" s="168" t="s">
        <v>413</v>
      </c>
      <c r="Z193" s="236" t="s">
        <v>539</v>
      </c>
      <c r="AA193" s="237" t="s">
        <v>537</v>
      </c>
      <c r="AB193" s="238">
        <v>2079</v>
      </c>
      <c r="AC193" s="168">
        <v>103200</v>
      </c>
      <c r="AD193" s="168" t="s">
        <v>623</v>
      </c>
    </row>
    <row r="194" spans="1:30">
      <c r="A194" s="227"/>
      <c r="B194" s="125"/>
      <c r="V194" s="238">
        <v>2157</v>
      </c>
      <c r="W194" s="168">
        <v>103246</v>
      </c>
      <c r="X194" s="168" t="s">
        <v>658</v>
      </c>
      <c r="Y194" s="168" t="s">
        <v>448</v>
      </c>
      <c r="Z194" s="236" t="s">
        <v>539</v>
      </c>
      <c r="AA194" s="237" t="s">
        <v>537</v>
      </c>
      <c r="AB194" s="238">
        <v>2157</v>
      </c>
      <c r="AC194" s="168">
        <v>103246</v>
      </c>
      <c r="AD194" s="168" t="s">
        <v>658</v>
      </c>
    </row>
    <row r="195" spans="1:30">
      <c r="A195" s="227"/>
      <c r="B195" s="125"/>
      <c r="V195" s="238">
        <v>3323</v>
      </c>
      <c r="W195" s="168">
        <v>103427</v>
      </c>
      <c r="X195" s="168" t="s">
        <v>587</v>
      </c>
      <c r="Y195" s="168" t="s">
        <v>378</v>
      </c>
      <c r="Z195" s="236" t="s">
        <v>539</v>
      </c>
      <c r="AA195" s="237" t="s">
        <v>1000</v>
      </c>
      <c r="AB195" s="238">
        <v>3323</v>
      </c>
      <c r="AC195" s="168">
        <v>103427</v>
      </c>
      <c r="AD195" s="168" t="s">
        <v>587</v>
      </c>
    </row>
    <row r="196" spans="1:30">
      <c r="A196" s="228"/>
      <c r="B196" s="125"/>
      <c r="V196" s="238">
        <v>2314</v>
      </c>
      <c r="W196" s="168">
        <v>103334</v>
      </c>
      <c r="X196" s="168" t="s">
        <v>687</v>
      </c>
      <c r="Y196" s="168" t="s">
        <v>477</v>
      </c>
      <c r="Z196" s="236" t="s">
        <v>539</v>
      </c>
      <c r="AA196" s="237" t="s">
        <v>1000</v>
      </c>
      <c r="AB196" s="238">
        <v>2314</v>
      </c>
      <c r="AC196" s="168">
        <v>103334</v>
      </c>
      <c r="AD196" s="168" t="s">
        <v>687</v>
      </c>
    </row>
    <row r="197" spans="1:30">
      <c r="A197" s="228"/>
      <c r="B197" s="125"/>
      <c r="V197" s="238">
        <v>3431</v>
      </c>
      <c r="W197" s="168">
        <v>134774</v>
      </c>
      <c r="X197" s="168" t="s">
        <v>651</v>
      </c>
      <c r="Y197" s="168" t="s">
        <v>441</v>
      </c>
      <c r="Z197" s="236" t="s">
        <v>539</v>
      </c>
      <c r="AA197" s="237" t="s">
        <v>1000</v>
      </c>
      <c r="AB197" s="238">
        <v>3431</v>
      </c>
      <c r="AC197" s="168">
        <v>134774</v>
      </c>
      <c r="AD197" s="168" t="s">
        <v>651</v>
      </c>
    </row>
    <row r="198" spans="1:30">
      <c r="A198" s="227"/>
      <c r="B198" s="125"/>
      <c r="V198" s="238">
        <v>3380</v>
      </c>
      <c r="W198" s="168">
        <v>103465</v>
      </c>
      <c r="X198" s="168" t="s">
        <v>721</v>
      </c>
      <c r="Y198" s="168" t="s">
        <v>510</v>
      </c>
      <c r="Z198" s="236" t="s">
        <v>539</v>
      </c>
      <c r="AA198" s="237" t="s">
        <v>1000</v>
      </c>
      <c r="AB198" s="238">
        <v>3380</v>
      </c>
      <c r="AC198" s="168">
        <v>103465</v>
      </c>
      <c r="AD198" s="168" t="s">
        <v>721</v>
      </c>
    </row>
    <row r="199" spans="1:30">
      <c r="A199" s="227"/>
      <c r="B199" s="125"/>
      <c r="V199" s="238">
        <v>3329</v>
      </c>
      <c r="W199" s="168">
        <v>103431</v>
      </c>
      <c r="X199" s="168" t="s">
        <v>666</v>
      </c>
      <c r="Y199" s="168" t="s">
        <v>456</v>
      </c>
      <c r="Z199" s="236" t="s">
        <v>539</v>
      </c>
      <c r="AA199" s="237" t="s">
        <v>1000</v>
      </c>
      <c r="AB199" s="238">
        <v>3329</v>
      </c>
      <c r="AC199" s="168">
        <v>103431</v>
      </c>
      <c r="AD199" s="168" t="s">
        <v>666</v>
      </c>
    </row>
    <row r="200" spans="1:30">
      <c r="A200" s="227"/>
      <c r="B200" s="125"/>
      <c r="V200" s="238">
        <v>3406</v>
      </c>
      <c r="W200" s="168">
        <v>103476</v>
      </c>
      <c r="X200" s="168" t="s">
        <v>669</v>
      </c>
      <c r="Y200" s="168" t="s">
        <v>459</v>
      </c>
      <c r="Z200" s="236" t="s">
        <v>539</v>
      </c>
      <c r="AA200" s="237" t="s">
        <v>1000</v>
      </c>
      <c r="AB200" s="238">
        <v>3406</v>
      </c>
      <c r="AC200" s="168">
        <v>103476</v>
      </c>
      <c r="AD200" s="168" t="s">
        <v>669</v>
      </c>
    </row>
    <row r="201" spans="1:30">
      <c r="A201" s="227"/>
      <c r="B201" s="125"/>
      <c r="V201" s="238">
        <v>3342</v>
      </c>
      <c r="W201" s="168">
        <v>103437</v>
      </c>
      <c r="X201" s="168" t="s">
        <v>671</v>
      </c>
      <c r="Y201" s="168" t="s">
        <v>461</v>
      </c>
      <c r="Z201" s="236" t="s">
        <v>539</v>
      </c>
      <c r="AA201" s="237" t="s">
        <v>1000</v>
      </c>
      <c r="AB201" s="238">
        <v>3342</v>
      </c>
      <c r="AC201" s="168">
        <v>103437</v>
      </c>
      <c r="AD201" s="168" t="s">
        <v>671</v>
      </c>
    </row>
    <row r="202" spans="1:30">
      <c r="A202" s="227"/>
      <c r="B202" s="125"/>
      <c r="V202" s="238">
        <v>3365</v>
      </c>
      <c r="W202" s="168">
        <v>103456</v>
      </c>
      <c r="X202" s="168" t="s">
        <v>678</v>
      </c>
      <c r="Y202" s="168" t="s">
        <v>468</v>
      </c>
      <c r="Z202" s="236" t="s">
        <v>539</v>
      </c>
      <c r="AA202" s="237" t="s">
        <v>1000</v>
      </c>
      <c r="AB202" s="238">
        <v>3365</v>
      </c>
      <c r="AC202" s="168">
        <v>103456</v>
      </c>
      <c r="AD202" s="168" t="s">
        <v>678</v>
      </c>
    </row>
    <row r="203" spans="1:30">
      <c r="A203" s="227"/>
      <c r="B203" s="125"/>
      <c r="V203" s="238">
        <v>3310</v>
      </c>
      <c r="W203" s="168">
        <v>103417</v>
      </c>
      <c r="X203" s="168" t="s">
        <v>680</v>
      </c>
      <c r="Y203" s="168" t="s">
        <v>470</v>
      </c>
      <c r="Z203" s="236" t="s">
        <v>539</v>
      </c>
      <c r="AA203" s="237" t="s">
        <v>1000</v>
      </c>
      <c r="AB203" s="238">
        <v>3310</v>
      </c>
      <c r="AC203" s="168">
        <v>103417</v>
      </c>
      <c r="AD203" s="168" t="s">
        <v>680</v>
      </c>
    </row>
    <row r="204" spans="1:30">
      <c r="A204" s="227"/>
      <c r="B204" s="125"/>
      <c r="V204" s="238">
        <v>2238</v>
      </c>
      <c r="W204" s="168">
        <v>103288</v>
      </c>
      <c r="X204" s="168" t="s">
        <v>548</v>
      </c>
      <c r="Y204" s="168" t="s">
        <v>339</v>
      </c>
      <c r="Z204" s="236" t="s">
        <v>539</v>
      </c>
      <c r="AA204" s="237" t="s">
        <v>1000</v>
      </c>
      <c r="AB204" s="238">
        <v>2238</v>
      </c>
      <c r="AC204" s="168">
        <v>103288</v>
      </c>
      <c r="AD204" s="168" t="s">
        <v>548</v>
      </c>
    </row>
    <row r="205" spans="1:30">
      <c r="A205" s="227"/>
      <c r="B205" s="125"/>
      <c r="V205" s="238">
        <v>2236</v>
      </c>
      <c r="W205" s="168">
        <v>103286</v>
      </c>
      <c r="X205" s="168" t="s">
        <v>549</v>
      </c>
      <c r="Y205" s="168" t="s">
        <v>340</v>
      </c>
      <c r="Z205" s="236" t="s">
        <v>539</v>
      </c>
      <c r="AA205" s="237" t="s">
        <v>1000</v>
      </c>
      <c r="AB205" s="238">
        <v>2236</v>
      </c>
      <c r="AC205" s="168">
        <v>103286</v>
      </c>
      <c r="AD205" s="168" t="s">
        <v>549</v>
      </c>
    </row>
    <row r="206" spans="1:30">
      <c r="A206" s="228"/>
      <c r="B206" s="125"/>
      <c r="V206" s="238">
        <v>2246</v>
      </c>
      <c r="W206" s="168">
        <v>103296</v>
      </c>
      <c r="X206" s="168" t="s">
        <v>681</v>
      </c>
      <c r="Y206" s="168" t="s">
        <v>471</v>
      </c>
      <c r="Z206" s="236" t="s">
        <v>539</v>
      </c>
      <c r="AA206" s="237" t="s">
        <v>1000</v>
      </c>
      <c r="AB206" s="238">
        <v>2246</v>
      </c>
      <c r="AC206" s="168">
        <v>103296</v>
      </c>
      <c r="AD206" s="168" t="s">
        <v>681</v>
      </c>
    </row>
    <row r="207" spans="1:30">
      <c r="A207" s="228"/>
      <c r="B207" s="125"/>
      <c r="V207" s="238">
        <v>3322</v>
      </c>
      <c r="W207" s="168">
        <v>103426</v>
      </c>
      <c r="X207" s="168" t="s">
        <v>572</v>
      </c>
      <c r="Y207" s="168" t="s">
        <v>363</v>
      </c>
      <c r="Z207" s="236" t="s">
        <v>539</v>
      </c>
      <c r="AA207" s="237" t="s">
        <v>1000</v>
      </c>
      <c r="AB207" s="238">
        <v>3322</v>
      </c>
      <c r="AC207" s="168">
        <v>103426</v>
      </c>
      <c r="AD207" s="168" t="s">
        <v>572</v>
      </c>
    </row>
    <row r="208" spans="1:30" hidden="1">
      <c r="A208" s="227"/>
      <c r="B208" s="125"/>
      <c r="V208" s="238"/>
      <c r="W208" s="168"/>
      <c r="X208" s="168"/>
      <c r="Y208" s="168"/>
      <c r="Z208" s="236"/>
      <c r="AA208" s="237"/>
      <c r="AB208" s="238"/>
      <c r="AC208" s="168"/>
      <c r="AD208" s="168"/>
    </row>
    <row r="209" spans="1:30" hidden="1">
      <c r="A209" s="227"/>
      <c r="B209" s="125"/>
      <c r="V209" s="238"/>
      <c r="W209" s="168"/>
      <c r="X209" s="168"/>
      <c r="Y209" s="168"/>
      <c r="Z209" s="236"/>
      <c r="AA209" s="237"/>
      <c r="AB209" s="238"/>
      <c r="AC209" s="168"/>
      <c r="AD209" s="168"/>
    </row>
    <row r="210" spans="1:30" hidden="1">
      <c r="V210" s="238"/>
      <c r="W210" s="168"/>
      <c r="X210" s="168"/>
      <c r="Y210" s="168"/>
      <c r="Z210" s="236"/>
      <c r="AA210" s="237"/>
      <c r="AB210" s="238"/>
      <c r="AC210" s="168"/>
      <c r="AD210" s="168"/>
    </row>
    <row r="211" spans="1:30" hidden="1">
      <c r="V211" s="238"/>
      <c r="W211" s="168"/>
      <c r="X211" s="168"/>
      <c r="Y211" s="168"/>
      <c r="Z211" s="236"/>
      <c r="AA211" s="237"/>
      <c r="AB211" s="238"/>
      <c r="AC211" s="168"/>
      <c r="AD211" s="168"/>
    </row>
    <row r="212" spans="1:30" hidden="1">
      <c r="V212" s="238"/>
      <c r="W212" s="168"/>
      <c r="X212" s="168"/>
      <c r="Y212" s="168"/>
      <c r="Z212" s="236"/>
      <c r="AA212" s="237"/>
      <c r="AB212" s="238"/>
      <c r="AC212" s="168"/>
      <c r="AD212" s="168"/>
    </row>
    <row r="213" spans="1:30" hidden="1">
      <c r="V213" s="238"/>
      <c r="W213" s="168"/>
      <c r="X213" s="168"/>
      <c r="Y213" s="168"/>
      <c r="Z213" s="236"/>
      <c r="AA213" s="237"/>
      <c r="AB213" s="238"/>
      <c r="AC213" s="168"/>
      <c r="AD213" s="168"/>
    </row>
    <row r="214" spans="1:30" hidden="1">
      <c r="V214" s="238"/>
      <c r="W214" s="168"/>
      <c r="X214" s="168"/>
      <c r="Y214" s="168"/>
      <c r="Z214" s="236"/>
      <c r="AA214" s="237"/>
      <c r="AB214" s="238"/>
      <c r="AC214" s="168"/>
      <c r="AD214" s="168"/>
    </row>
    <row r="215" spans="1:30" hidden="1">
      <c r="V215" s="238"/>
      <c r="W215" s="168"/>
      <c r="X215" s="168"/>
      <c r="Y215" s="168"/>
      <c r="Z215" s="236"/>
      <c r="AA215" s="237"/>
      <c r="AB215" s="238"/>
      <c r="AC215" s="168"/>
      <c r="AD215" s="168"/>
    </row>
    <row r="216" spans="1:30" hidden="1">
      <c r="V216" s="238"/>
      <c r="W216" s="168"/>
      <c r="X216" s="168"/>
      <c r="Y216" s="168"/>
      <c r="Z216" s="236"/>
      <c r="AA216" s="237"/>
      <c r="AB216" s="238"/>
      <c r="AC216" s="168"/>
      <c r="AD216" s="168"/>
    </row>
    <row r="217" spans="1:30" hidden="1">
      <c r="V217" s="238"/>
      <c r="W217" s="168"/>
      <c r="X217" s="168"/>
      <c r="Y217" s="168"/>
      <c r="Z217" s="236"/>
      <c r="AA217" s="237"/>
      <c r="AB217" s="238"/>
      <c r="AC217" s="168"/>
      <c r="AD217" s="168"/>
    </row>
    <row r="218" spans="1:30">
      <c r="V218" s="239"/>
      <c r="W218" s="240"/>
      <c r="X218" s="240"/>
      <c r="Y218" s="241"/>
      <c r="Z218" s="242"/>
      <c r="AA218" s="243"/>
      <c r="AB218" s="239"/>
      <c r="AC218" s="240"/>
      <c r="AD218" s="240"/>
    </row>
  </sheetData>
  <autoFilter ref="A1:D201" xr:uid="{00000000-0001-0000-0500-000000000000}"/>
  <sortState xmlns:xlrd2="http://schemas.microsoft.com/office/spreadsheetml/2017/richdata2" ref="A4:B201">
    <sortCondition ref="A4:A201"/>
  </sortState>
  <conditionalFormatting sqref="V7:AD8 V9:Z9 AB9:AD9 Z10:Z218">
    <cfRule type="cellIs" dxfId="5" priority="1" operator="lessThan">
      <formula>0</formula>
    </cfRule>
  </conditionalFormatting>
  <pageMargins left="0.7" right="0.7" top="0.75" bottom="0.75" header="0.3" footer="0.3"/>
  <headerFooter>
    <oddFooter>&amp;C_x000D_&amp;1#&amp;"Calibri"&amp;10&amp;K000000 OFFICIAL</oddFooter>
  </headerFooter>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sheetPr>
  <dimension ref="A1:EA7"/>
  <sheetViews>
    <sheetView topLeftCell="DD1" workbookViewId="0">
      <selection activeCell="DZ9" sqref="DZ9"/>
    </sheetView>
  </sheetViews>
  <sheetFormatPr defaultRowHeight="14.5"/>
  <cols>
    <col min="1" max="1" width="11" customWidth="1"/>
    <col min="2" max="2" width="14.26953125" customWidth="1"/>
    <col min="131" max="131" width="11.453125" bestFit="1" customWidth="1"/>
  </cols>
  <sheetData>
    <row r="1" spans="1:131" s="129" customFormat="1" ht="15.5">
      <c r="A1" s="127" t="str">
        <f>'2. CFR Return'!D1</f>
        <v>Birmingham Financial Monitoring Return 2025/26</v>
      </c>
      <c r="B1" s="128"/>
      <c r="H1" s="129" t="s">
        <v>772</v>
      </c>
    </row>
    <row r="2" spans="1:131" s="129" customFormat="1" ht="15.5">
      <c r="A2" s="127" t="str">
        <f>'S Budget'!A2</f>
        <v xml:space="preserve">LA Data Sheet - 2025-26 </v>
      </c>
      <c r="B2" s="128"/>
      <c r="C2" s="127" t="s">
        <v>746</v>
      </c>
    </row>
    <row r="3" spans="1:131" s="129" customFormat="1" ht="15.5">
      <c r="A3" s="150"/>
      <c r="B3" s="150"/>
    </row>
    <row r="4" spans="1:131" s="135" customFormat="1" ht="12.75" customHeight="1">
      <c r="A4" s="708" t="s">
        <v>218</v>
      </c>
      <c r="B4" s="709"/>
      <c r="C4" s="709"/>
      <c r="D4" s="709"/>
      <c r="E4" s="709"/>
      <c r="F4" s="710"/>
      <c r="G4" s="711" t="s">
        <v>219</v>
      </c>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2"/>
      <c r="BJ4" s="712"/>
      <c r="BK4" s="712"/>
      <c r="BL4" s="712"/>
      <c r="BM4" s="713"/>
      <c r="BN4" s="714" t="s">
        <v>220</v>
      </c>
      <c r="BO4" s="715"/>
      <c r="BP4" s="715"/>
      <c r="BQ4" s="715"/>
      <c r="BR4" s="715"/>
      <c r="BS4" s="715"/>
      <c r="BT4" s="715"/>
      <c r="BU4" s="715"/>
      <c r="BV4" s="715"/>
      <c r="BW4" s="715"/>
      <c r="BX4" s="715"/>
      <c r="BY4" s="715"/>
      <c r="BZ4" s="715"/>
      <c r="CA4" s="715"/>
      <c r="CB4" s="715"/>
      <c r="CC4" s="716"/>
      <c r="CD4" s="717" t="s">
        <v>221</v>
      </c>
      <c r="CE4" s="718"/>
      <c r="CF4" s="718"/>
      <c r="CG4" s="718"/>
      <c r="CH4" s="718"/>
      <c r="CI4" s="718"/>
      <c r="CJ4" s="718"/>
      <c r="CK4" s="718"/>
      <c r="CL4" s="719"/>
      <c r="CM4" s="720" t="s">
        <v>222</v>
      </c>
      <c r="CN4" s="720"/>
      <c r="CO4" s="720"/>
      <c r="CP4" s="720"/>
      <c r="CQ4" s="720"/>
      <c r="CR4" s="720"/>
      <c r="CS4" s="721" t="s">
        <v>223</v>
      </c>
      <c r="CT4" s="722"/>
      <c r="CU4" s="722"/>
      <c r="CV4" s="722"/>
      <c r="CW4" s="722"/>
      <c r="CX4" s="722"/>
      <c r="CY4" s="722"/>
      <c r="CZ4" s="722"/>
      <c r="DA4" s="722"/>
      <c r="DB4" s="723"/>
      <c r="DC4" s="702" t="s">
        <v>1040</v>
      </c>
      <c r="DD4" s="703"/>
      <c r="DE4" s="703"/>
      <c r="DF4" s="703"/>
      <c r="DG4" s="703"/>
      <c r="DH4" s="703"/>
      <c r="DI4" s="703"/>
      <c r="DJ4" s="703"/>
      <c r="DK4" s="704"/>
      <c r="DL4" s="705" t="s">
        <v>225</v>
      </c>
      <c r="DM4" s="705"/>
      <c r="DN4" s="705"/>
      <c r="DO4" s="705"/>
      <c r="DP4" s="705"/>
      <c r="DQ4" s="705"/>
      <c r="DR4" s="705"/>
      <c r="DS4" s="705"/>
      <c r="DT4" s="705"/>
      <c r="DU4" s="706" t="s">
        <v>226</v>
      </c>
      <c r="DV4" s="706"/>
      <c r="DW4" s="707" t="s">
        <v>227</v>
      </c>
      <c r="DX4" s="707"/>
      <c r="DY4" s="134"/>
    </row>
    <row r="5" spans="1:131" s="146" customFormat="1" ht="139.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787</v>
      </c>
      <c r="AS5" s="137" t="s">
        <v>785</v>
      </c>
      <c r="AT5" s="137" t="s">
        <v>786</v>
      </c>
      <c r="AU5" s="137" t="s">
        <v>788</v>
      </c>
      <c r="AV5" s="137" t="s">
        <v>789</v>
      </c>
      <c r="AW5" s="137" t="s">
        <v>790</v>
      </c>
      <c r="AX5" s="137" t="s">
        <v>791</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787</v>
      </c>
      <c r="BV5" s="138" t="s">
        <v>785</v>
      </c>
      <c r="BW5" s="138" t="s">
        <v>788</v>
      </c>
      <c r="BX5" s="138" t="s">
        <v>792</v>
      </c>
      <c r="BY5" s="138" t="s">
        <v>790</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827</v>
      </c>
      <c r="CY5" s="140" t="s">
        <v>265</v>
      </c>
      <c r="CZ5" s="140" t="s">
        <v>997</v>
      </c>
      <c r="DA5" s="140" t="s">
        <v>167</v>
      </c>
      <c r="DB5" s="140" t="s">
        <v>266</v>
      </c>
      <c r="DC5" s="141" t="s">
        <v>262</v>
      </c>
      <c r="DD5" s="141" t="s">
        <v>263</v>
      </c>
      <c r="DE5" s="141" t="s">
        <v>264</v>
      </c>
      <c r="DF5" s="141" t="s">
        <v>165</v>
      </c>
      <c r="DG5" s="141" t="s">
        <v>166</v>
      </c>
      <c r="DH5" s="141" t="s">
        <v>827</v>
      </c>
      <c r="DI5" s="141" t="s">
        <v>265</v>
      </c>
      <c r="DJ5" s="141" t="s">
        <v>167</v>
      </c>
      <c r="DK5" s="141" t="s">
        <v>266</v>
      </c>
      <c r="DL5" s="131" t="s">
        <v>170</v>
      </c>
      <c r="DM5" s="131" t="s">
        <v>172</v>
      </c>
      <c r="DN5" s="131" t="s">
        <v>173</v>
      </c>
      <c r="DO5" s="131" t="s">
        <v>174</v>
      </c>
      <c r="DP5" s="131" t="s">
        <v>175</v>
      </c>
      <c r="DQ5" s="131" t="s">
        <v>177</v>
      </c>
      <c r="DR5" s="131" t="s">
        <v>178</v>
      </c>
      <c r="DS5" s="131" t="s">
        <v>179</v>
      </c>
      <c r="DT5" s="131" t="s">
        <v>267</v>
      </c>
      <c r="DU5" s="142" t="s">
        <v>170</v>
      </c>
      <c r="DV5" s="142" t="s">
        <v>172</v>
      </c>
      <c r="DW5" s="143" t="s">
        <v>175</v>
      </c>
      <c r="DX5" s="143" t="s">
        <v>177</v>
      </c>
      <c r="DY5" s="144" t="s">
        <v>268</v>
      </c>
      <c r="DZ5" s="145" t="s">
        <v>269</v>
      </c>
    </row>
    <row r="6" spans="1:131" s="135" customFormat="1" ht="15.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773</v>
      </c>
      <c r="AS6" s="152" t="s">
        <v>774</v>
      </c>
      <c r="AT6" s="152" t="s">
        <v>775</v>
      </c>
      <c r="AU6" s="152" t="s">
        <v>776</v>
      </c>
      <c r="AV6" s="152" t="s">
        <v>777</v>
      </c>
      <c r="AW6" s="152" t="s">
        <v>778</v>
      </c>
      <c r="AX6" s="152" t="s">
        <v>779</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780</v>
      </c>
      <c r="BV6" s="154" t="s">
        <v>781</v>
      </c>
      <c r="BW6" s="154" t="s">
        <v>782</v>
      </c>
      <c r="BX6" s="154" t="s">
        <v>783</v>
      </c>
      <c r="BY6" s="154" t="s">
        <v>784</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7"/>
      <c r="DC6" s="158"/>
      <c r="DD6" s="158"/>
      <c r="DE6" s="158"/>
      <c r="DF6" s="158"/>
      <c r="DG6" s="158"/>
      <c r="DH6" s="158"/>
      <c r="DI6" s="158"/>
      <c r="DJ6" s="158"/>
      <c r="DK6" s="158"/>
      <c r="DL6" s="159"/>
      <c r="DM6" s="159"/>
      <c r="DN6" s="159"/>
      <c r="DO6" s="159"/>
      <c r="DP6" s="159"/>
      <c r="DQ6" s="159"/>
      <c r="DR6" s="159"/>
      <c r="DS6" s="159"/>
      <c r="DT6" s="159"/>
      <c r="DU6" s="132"/>
      <c r="DV6" s="132"/>
      <c r="DW6" s="133"/>
      <c r="DX6" s="133"/>
      <c r="DY6" s="160"/>
      <c r="DZ6" s="161"/>
    </row>
    <row r="7" spans="1:131" s="135" customFormat="1" ht="46.5">
      <c r="A7" s="148" t="str">
        <f>'2. CFR Return'!E4</f>
        <v>0000</v>
      </c>
      <c r="B7" s="148" t="str">
        <f>'2. CFR Return'!E3</f>
        <v xml:space="preserve">SELECT SCHOOL HERE </v>
      </c>
      <c r="C7" s="148" t="str">
        <f>H1</f>
        <v xml:space="preserve"> Quarter 1 2025-26</v>
      </c>
      <c r="D7" s="148"/>
      <c r="E7" s="148" t="str">
        <f>'2. CFR Return'!E5</f>
        <v>Quarter 3</v>
      </c>
      <c r="F7" s="148"/>
      <c r="G7" s="149">
        <f>'2. CFR Return'!$S15</f>
        <v>0</v>
      </c>
      <c r="H7" s="149">
        <f>'2. CFR Return'!$S16</f>
        <v>0</v>
      </c>
      <c r="I7" s="149">
        <f>'2. CFR Return'!$S17</f>
        <v>0</v>
      </c>
      <c r="J7" s="149">
        <f>'2. CFR Return'!$S18</f>
        <v>0</v>
      </c>
      <c r="K7" s="149">
        <f>'2. CFR Return'!$S19</f>
        <v>0</v>
      </c>
      <c r="L7" s="149">
        <f>'2. CFR Return'!$S20</f>
        <v>0</v>
      </c>
      <c r="M7" s="149">
        <f>'2. CFR Return'!$S21</f>
        <v>0</v>
      </c>
      <c r="N7" s="149">
        <f>'2. CFR Return'!$S22</f>
        <v>0</v>
      </c>
      <c r="O7" s="149">
        <f>'2. CFR Return'!$S23</f>
        <v>0</v>
      </c>
      <c r="P7" s="149">
        <f>'2. CFR Return'!$S24</f>
        <v>0</v>
      </c>
      <c r="Q7" s="149">
        <f>'2. CFR Return'!$S25</f>
        <v>0</v>
      </c>
      <c r="R7" s="149">
        <f>'2. CFR Return'!$S26</f>
        <v>0</v>
      </c>
      <c r="S7" s="149">
        <f>'2. CFR Return'!$S27</f>
        <v>0</v>
      </c>
      <c r="T7" s="149">
        <f>'2. CFR Return'!$S28</f>
        <v>0</v>
      </c>
      <c r="U7" s="149">
        <f>'2. CFR Return'!$S29</f>
        <v>0</v>
      </c>
      <c r="V7" s="149"/>
      <c r="W7" s="149"/>
      <c r="X7" s="149">
        <f>SUM(G7:W7)</f>
        <v>0</v>
      </c>
      <c r="Y7" s="149">
        <f>'2. CFR Return'!$S32</f>
        <v>0</v>
      </c>
      <c r="Z7" s="149">
        <f>'2. CFR Return'!$S33</f>
        <v>0</v>
      </c>
      <c r="AA7" s="149">
        <f>'2. CFR Return'!$S34</f>
        <v>0</v>
      </c>
      <c r="AB7" s="149">
        <f>'2. CFR Return'!$S35</f>
        <v>0</v>
      </c>
      <c r="AC7" s="149">
        <f>'2. CFR Return'!$S36</f>
        <v>0</v>
      </c>
      <c r="AD7" s="149">
        <f>'2. CFR Return'!$S37</f>
        <v>0</v>
      </c>
      <c r="AE7" s="149">
        <f>'2. CFR Return'!$S38</f>
        <v>0</v>
      </c>
      <c r="AF7" s="149">
        <f>'2. CFR Return'!$S39</f>
        <v>0</v>
      </c>
      <c r="AG7" s="149">
        <f>'2. CFR Return'!$S40</f>
        <v>0</v>
      </c>
      <c r="AH7" s="149">
        <f>'2. CFR Return'!$S41</f>
        <v>0</v>
      </c>
      <c r="AI7" s="149">
        <f>'2. CFR Return'!$S42</f>
        <v>0</v>
      </c>
      <c r="AJ7" s="149">
        <f>'2. CFR Return'!$S43</f>
        <v>0</v>
      </c>
      <c r="AK7" s="149">
        <f>'2. CFR Return'!$S44</f>
        <v>0</v>
      </c>
      <c r="AL7" s="149">
        <f>'2. CFR Return'!$S45</f>
        <v>0</v>
      </c>
      <c r="AM7" s="149">
        <f>'2. CFR Return'!$S46</f>
        <v>0</v>
      </c>
      <c r="AN7" s="149">
        <f>'2. CFR Return'!$S47</f>
        <v>0</v>
      </c>
      <c r="AO7" s="149">
        <f>'2. CFR Return'!$S48</f>
        <v>0</v>
      </c>
      <c r="AP7" s="149">
        <f>'2. CFR Return'!$S49</f>
        <v>0</v>
      </c>
      <c r="AQ7" s="149">
        <f>'2. CFR Return'!$S50</f>
        <v>0</v>
      </c>
      <c r="AR7" s="149">
        <f>'2. CFR Return'!$S51</f>
        <v>0</v>
      </c>
      <c r="AS7" s="149">
        <f>'2. CFR Return'!$S52</f>
        <v>0</v>
      </c>
      <c r="AT7" s="149">
        <f>'2. CFR Return'!$S53</f>
        <v>0</v>
      </c>
      <c r="AU7" s="149">
        <f>'2. CFR Return'!$S54</f>
        <v>0</v>
      </c>
      <c r="AV7" s="149">
        <f>'2. CFR Return'!$S55</f>
        <v>0</v>
      </c>
      <c r="AW7" s="149">
        <f>'2. CFR Return'!$S56</f>
        <v>0</v>
      </c>
      <c r="AX7" s="149">
        <f>'2. CFR Return'!$S57</f>
        <v>0</v>
      </c>
      <c r="AY7" s="149">
        <f>'2. CFR Return'!$S58</f>
        <v>0</v>
      </c>
      <c r="AZ7" s="149">
        <f>'2. CFR Return'!$S59</f>
        <v>0</v>
      </c>
      <c r="BA7" s="149">
        <f>'2. CFR Return'!$S60</f>
        <v>0</v>
      </c>
      <c r="BB7" s="149">
        <f>'2. CFR Return'!$S61</f>
        <v>0</v>
      </c>
      <c r="BC7" s="149">
        <f>'2. CFR Return'!$S62</f>
        <v>0</v>
      </c>
      <c r="BD7" s="149">
        <f>'2. CFR Return'!$S63</f>
        <v>0</v>
      </c>
      <c r="BE7" s="149">
        <f>'2. CFR Return'!$S64</f>
        <v>0</v>
      </c>
      <c r="BF7" s="149">
        <f>'2. CFR Return'!$S65</f>
        <v>0</v>
      </c>
      <c r="BG7" s="149">
        <f>'2. CFR Return'!$S66</f>
        <v>0</v>
      </c>
      <c r="BH7" s="149">
        <f>'2. CFR Return'!$S67</f>
        <v>0</v>
      </c>
      <c r="BI7" s="149">
        <f>'2. CFR Return'!$S68</f>
        <v>0</v>
      </c>
      <c r="BJ7" s="149">
        <f>SUM(Y7:BI7)</f>
        <v>0</v>
      </c>
      <c r="BK7" s="149">
        <f>'2. CFR Return'!$S13</f>
        <v>0</v>
      </c>
      <c r="BL7" s="149">
        <f>X7-BJ7</f>
        <v>0</v>
      </c>
      <c r="BM7" s="149">
        <f>BK7+BL7</f>
        <v>0</v>
      </c>
      <c r="BN7" s="149">
        <f>'2. CFR Return'!$S79</f>
        <v>0</v>
      </c>
      <c r="BO7" s="149">
        <f>'2. CFR Return'!S80</f>
        <v>0</v>
      </c>
      <c r="BP7" s="149">
        <f>'2. CFR Return'!$S81</f>
        <v>0</v>
      </c>
      <c r="BQ7" s="149">
        <f>SUM(BN7:BP7)</f>
        <v>0</v>
      </c>
      <c r="BR7" s="149">
        <f>'2. CFR Return'!$S84</f>
        <v>0</v>
      </c>
      <c r="BS7" s="149">
        <f>'2. CFR Return'!$S85</f>
        <v>0</v>
      </c>
      <c r="BT7" s="149">
        <f>'2. CFR Return'!$S86</f>
        <v>0</v>
      </c>
      <c r="BU7" s="149">
        <f>'2. CFR Return'!$S87</f>
        <v>0</v>
      </c>
      <c r="BV7" s="149">
        <f>'2. CFR Return'!$S88</f>
        <v>0</v>
      </c>
      <c r="BW7" s="149">
        <f>'2. CFR Return'!$S89</f>
        <v>0</v>
      </c>
      <c r="BX7" s="149">
        <f>'2. CFR Return'!$S90</f>
        <v>0</v>
      </c>
      <c r="BY7" s="149">
        <f>'2. CFR Return'!$S91</f>
        <v>0</v>
      </c>
      <c r="BZ7" s="149">
        <f>SUM(BR7:BY7)</f>
        <v>0</v>
      </c>
      <c r="CA7" s="149">
        <f>'2. CFR Return'!$S77</f>
        <v>0</v>
      </c>
      <c r="CB7" s="149">
        <f>BQ7-BZ7</f>
        <v>0</v>
      </c>
      <c r="CC7" s="149">
        <f>CA7+CB7</f>
        <v>0</v>
      </c>
      <c r="CD7" s="149">
        <f>'2. CFR Return'!$S102</f>
        <v>0</v>
      </c>
      <c r="CE7" s="149">
        <f>'2. CFR Return'!$S103</f>
        <v>0</v>
      </c>
      <c r="CF7" s="149">
        <f>CD7+CE7</f>
        <v>0</v>
      </c>
      <c r="CG7" s="149">
        <f>'2. CFR Return'!$S106</f>
        <v>0</v>
      </c>
      <c r="CH7" s="149">
        <f>'2. CFR Return'!$S107</f>
        <v>0</v>
      </c>
      <c r="CI7" s="149">
        <f>CG7+CH7</f>
        <v>0</v>
      </c>
      <c r="CJ7" s="149">
        <f>'2. CFR Return'!$S100</f>
        <v>0</v>
      </c>
      <c r="CK7" s="149">
        <f>CF7-CI7</f>
        <v>0</v>
      </c>
      <c r="CL7" s="149">
        <f>CJ7+CK7</f>
        <v>0</v>
      </c>
      <c r="CM7" s="149">
        <f>'2. CFR Return'!$S119</f>
        <v>0</v>
      </c>
      <c r="CN7" s="149">
        <f>'2. CFR Return'!$S120</f>
        <v>0</v>
      </c>
      <c r="CO7" s="149">
        <f>'2. CFR Return'!$S121</f>
        <v>0</v>
      </c>
      <c r="CP7" s="149">
        <f>'2. CFR Return'!$S122</f>
        <v>0</v>
      </c>
      <c r="CQ7" s="149">
        <f>'2. CFR Return'!$S123</f>
        <v>0</v>
      </c>
      <c r="CR7" s="149">
        <f>SUM(CM7:CQ7)</f>
        <v>0</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+'2. CFR Return'!K141</f>
        <v>0</v>
      </c>
      <c r="DB7" s="149">
        <f>SUM(CV7:DA7)</f>
        <v>0</v>
      </c>
      <c r="DC7" s="149">
        <f>+'2. CFR Return'!S130</f>
        <v>0</v>
      </c>
      <c r="DD7" s="149">
        <f>+'2. CFR Return'!S133</f>
        <v>0</v>
      </c>
      <c r="DE7" s="149">
        <f>+'2. CFR Return'!S134</f>
        <v>0</v>
      </c>
      <c r="DF7" s="149">
        <f>DC7-DD7+DE7</f>
        <v>0</v>
      </c>
      <c r="DG7" s="149">
        <f>+'2. CFR Return'!S138</f>
        <v>0</v>
      </c>
      <c r="DH7" s="149">
        <f>'2. CFR Return'!S139</f>
        <v>0</v>
      </c>
      <c r="DI7" s="149">
        <f>+'2. CFR Return'!S140</f>
        <v>0</v>
      </c>
      <c r="DJ7" s="149">
        <f>+'2. CFR Return'!S141</f>
        <v>0</v>
      </c>
      <c r="DK7" s="149">
        <f>SUM(DF7:DJ7)</f>
        <v>0</v>
      </c>
      <c r="DL7" s="149">
        <f>+'2. CFR Return'!$S148</f>
        <v>0</v>
      </c>
      <c r="DM7" s="149">
        <f>+'2. CFR Return'!$S149</f>
        <v>0</v>
      </c>
      <c r="DN7" s="149">
        <f>+'2. CFR Return'!$S150</f>
        <v>0</v>
      </c>
      <c r="DO7" s="149">
        <f>+'2. CFR Return'!$S151</f>
        <v>0</v>
      </c>
      <c r="DP7" s="149">
        <f>+'2. CFR Return'!$S152</f>
        <v>0</v>
      </c>
      <c r="DQ7" s="149">
        <f>+'2. CFR Return'!$S153</f>
        <v>0</v>
      </c>
      <c r="DR7" s="149">
        <f>+'2. CFR Return'!$S154</f>
        <v>0</v>
      </c>
      <c r="DS7" s="149">
        <f>+'2. CFR Return'!$S155</f>
        <v>0</v>
      </c>
      <c r="DT7" s="149">
        <f>SUM(DL7:DS7)</f>
        <v>0</v>
      </c>
      <c r="DU7" s="149">
        <f>+'2. CFR Return'!S161</f>
        <v>0</v>
      </c>
      <c r="DV7" s="149">
        <f>+'2. CFR Return'!S162</f>
        <v>0</v>
      </c>
      <c r="DW7" s="149">
        <f>+'2. CFR Return'!S165</f>
        <v>0</v>
      </c>
      <c r="DX7" s="149">
        <f>+'2. CFR Return'!S166</f>
        <v>0</v>
      </c>
      <c r="DY7" s="149">
        <f>+'2. CFR Return'!S168</f>
        <v>0</v>
      </c>
      <c r="DZ7" s="147">
        <f>+'2. CFR Return'!S172</f>
        <v>0</v>
      </c>
      <c r="EA7" s="162">
        <f>+CR7-DB7-DK7-DT7-DU7-DV7-DW7-DX7-DY7</f>
        <v>0</v>
      </c>
    </row>
  </sheetData>
  <mergeCells count="10">
    <mergeCell ref="DC4:DK4"/>
    <mergeCell ref="DL4:DT4"/>
    <mergeCell ref="DU4:DV4"/>
    <mergeCell ref="DW4:DX4"/>
    <mergeCell ref="A4:F4"/>
    <mergeCell ref="G4:BM4"/>
    <mergeCell ref="BN4:CC4"/>
    <mergeCell ref="CD4:CL4"/>
    <mergeCell ref="CM4:CR4"/>
    <mergeCell ref="CS4:DB4"/>
  </mergeCells>
  <pageMargins left="0.7" right="0.7" top="0.75" bottom="0.75" header="0.3" footer="0.3"/>
  <headerFooter>
    <oddFooter>&amp;C_x000D_&amp;1#&amp;"Calibri"&amp;10&amp;K000000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FF00"/>
  </sheetPr>
  <dimension ref="A1:CS7"/>
  <sheetViews>
    <sheetView workbookViewId="0">
      <selection activeCell="CH14" sqref="CH14"/>
    </sheetView>
  </sheetViews>
  <sheetFormatPr defaultRowHeight="14.5"/>
  <sheetData>
    <row r="1" spans="1:97" s="129" customFormat="1" ht="15.5">
      <c r="A1" s="127" t="str">
        <f>YTD!A1</f>
        <v>Birmingham Financial Monitoring Return 2025/26</v>
      </c>
      <c r="B1" s="128"/>
      <c r="H1" s="129" t="str">
        <f>YTD!H1</f>
        <v xml:space="preserve"> Quarter 1 2025-26</v>
      </c>
    </row>
    <row r="2" spans="1:97" s="129" customFormat="1" ht="15.5">
      <c r="A2" s="127" t="str">
        <f>YTD!A2</f>
        <v xml:space="preserve">LA Data Sheet - 2025-26 </v>
      </c>
      <c r="B2" s="128"/>
      <c r="C2" s="127" t="s">
        <v>321</v>
      </c>
    </row>
    <row r="3" spans="1:97" s="129" customFormat="1" ht="15.5">
      <c r="A3" s="150"/>
      <c r="B3" s="150"/>
    </row>
    <row r="4" spans="1:97" s="135" customFormat="1" ht="12.75" customHeight="1">
      <c r="A4" s="708" t="s">
        <v>218</v>
      </c>
      <c r="B4" s="709"/>
      <c r="C4" s="709"/>
      <c r="D4" s="709"/>
      <c r="E4" s="709"/>
      <c r="F4" s="710"/>
      <c r="G4" s="711" t="s">
        <v>219</v>
      </c>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2"/>
      <c r="BJ4" s="712"/>
      <c r="BK4" s="712"/>
      <c r="BL4" s="712"/>
      <c r="BM4" s="713"/>
      <c r="BN4" s="714" t="s">
        <v>220</v>
      </c>
      <c r="BO4" s="715"/>
      <c r="BP4" s="715"/>
      <c r="BQ4" s="715"/>
      <c r="BR4" s="715"/>
      <c r="BS4" s="715"/>
      <c r="BT4" s="715"/>
      <c r="BU4" s="715"/>
      <c r="BV4" s="715"/>
      <c r="BW4" s="715"/>
      <c r="BX4" s="715"/>
      <c r="BY4" s="715"/>
      <c r="BZ4" s="715"/>
      <c r="CA4" s="715"/>
      <c r="CB4" s="715"/>
      <c r="CC4" s="716"/>
      <c r="CD4" s="717" t="s">
        <v>221</v>
      </c>
      <c r="CE4" s="718"/>
      <c r="CF4" s="718"/>
      <c r="CG4" s="718"/>
      <c r="CH4" s="718"/>
      <c r="CI4" s="718"/>
      <c r="CJ4" s="718"/>
      <c r="CK4" s="718"/>
      <c r="CL4" s="719"/>
      <c r="CM4" s="720" t="s">
        <v>222</v>
      </c>
      <c r="CN4" s="720"/>
      <c r="CO4" s="720"/>
      <c r="CP4" s="720"/>
      <c r="CQ4" s="720"/>
      <c r="CR4" s="720"/>
    </row>
    <row r="5" spans="1:97" s="146" customFormat="1" ht="139.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787</v>
      </c>
      <c r="AS5" s="137" t="s">
        <v>785</v>
      </c>
      <c r="AT5" s="137" t="s">
        <v>786</v>
      </c>
      <c r="AU5" s="137" t="s">
        <v>788</v>
      </c>
      <c r="AV5" s="137" t="s">
        <v>789</v>
      </c>
      <c r="AW5" s="137" t="s">
        <v>790</v>
      </c>
      <c r="AX5" s="137" t="s">
        <v>791</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787</v>
      </c>
      <c r="BV5" s="138" t="s">
        <v>785</v>
      </c>
      <c r="BW5" s="138" t="s">
        <v>788</v>
      </c>
      <c r="BX5" s="138" t="s">
        <v>792</v>
      </c>
      <c r="BY5" s="138" t="s">
        <v>790</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row>
    <row r="6" spans="1:97" s="135" customFormat="1" ht="15.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773</v>
      </c>
      <c r="AS6" s="152" t="s">
        <v>774</v>
      </c>
      <c r="AT6" s="152" t="s">
        <v>775</v>
      </c>
      <c r="AU6" s="152" t="s">
        <v>776</v>
      </c>
      <c r="AV6" s="152" t="s">
        <v>777</v>
      </c>
      <c r="AW6" s="152" t="s">
        <v>778</v>
      </c>
      <c r="AX6" s="152" t="s">
        <v>779</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780</v>
      </c>
      <c r="BV6" s="154" t="s">
        <v>781</v>
      </c>
      <c r="BW6" s="154" t="s">
        <v>782</v>
      </c>
      <c r="BX6" s="154" t="s">
        <v>783</v>
      </c>
      <c r="BY6" s="154" t="s">
        <v>784</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row>
    <row r="7" spans="1:97" s="135" customFormat="1" ht="46.5">
      <c r="A7" s="148" t="str">
        <f>'2. CFR Return'!E4</f>
        <v>0000</v>
      </c>
      <c r="B7" s="148" t="str">
        <f>'2. CFR Return'!E3</f>
        <v xml:space="preserve">SELECT SCHOOL HERE </v>
      </c>
      <c r="C7" s="148" t="str">
        <f>H1</f>
        <v xml:space="preserve"> Quarter 1 2025-26</v>
      </c>
      <c r="D7" s="148"/>
      <c r="E7" s="148" t="str">
        <f>'2. CFR Return'!E5</f>
        <v>Quarter 3</v>
      </c>
      <c r="F7" s="148"/>
      <c r="G7" s="149" t="str">
        <f>'2. CFR Return'!$T15</f>
        <v/>
      </c>
      <c r="H7" s="149" t="str">
        <f>'2. CFR Return'!$T16</f>
        <v/>
      </c>
      <c r="I7" s="149" t="str">
        <f>'2. CFR Return'!$T17</f>
        <v/>
      </c>
      <c r="J7" s="149" t="str">
        <f>'2. CFR Return'!$T18</f>
        <v/>
      </c>
      <c r="K7" s="149" t="str">
        <f>'2. CFR Return'!$T19</f>
        <v/>
      </c>
      <c r="L7" s="149" t="str">
        <f>'2. CFR Return'!$T20</f>
        <v/>
      </c>
      <c r="M7" s="149" t="str">
        <f>'2. CFR Return'!$T21</f>
        <v/>
      </c>
      <c r="N7" s="149" t="str">
        <f>'2. CFR Return'!$T22</f>
        <v/>
      </c>
      <c r="O7" s="149" t="str">
        <f>'2. CFR Return'!$T23</f>
        <v/>
      </c>
      <c r="P7" s="149" t="str">
        <f>'2. CFR Return'!$T24</f>
        <v/>
      </c>
      <c r="Q7" s="149" t="str">
        <f>'2. CFR Return'!$T25</f>
        <v/>
      </c>
      <c r="R7" s="149" t="str">
        <f>'2. CFR Return'!$T26</f>
        <v/>
      </c>
      <c r="S7" s="149" t="str">
        <f>'2. CFR Return'!$T27</f>
        <v/>
      </c>
      <c r="T7" s="149" t="str">
        <f>'2. CFR Return'!$T28</f>
        <v/>
      </c>
      <c r="U7" s="149" t="str">
        <f>'2. CFR Return'!$T29</f>
        <v/>
      </c>
      <c r="V7" s="149"/>
      <c r="W7" s="149"/>
      <c r="X7" s="149"/>
      <c r="Y7" s="149" t="str">
        <f>'2. CFR Return'!$T32</f>
        <v/>
      </c>
      <c r="Z7" s="149" t="str">
        <f>'2. CFR Return'!$T33</f>
        <v/>
      </c>
      <c r="AA7" s="149" t="str">
        <f>'2. CFR Return'!$T34</f>
        <v/>
      </c>
      <c r="AB7" s="149" t="str">
        <f>'2. CFR Return'!$T35</f>
        <v/>
      </c>
      <c r="AC7" s="149" t="str">
        <f>'2. CFR Return'!$T36</f>
        <v/>
      </c>
      <c r="AD7" s="149" t="str">
        <f>'2. CFR Return'!$T37</f>
        <v/>
      </c>
      <c r="AE7" s="149" t="str">
        <f>'2. CFR Return'!$T38</f>
        <v/>
      </c>
      <c r="AF7" s="149" t="str">
        <f>'2. CFR Return'!$T39</f>
        <v/>
      </c>
      <c r="AG7" s="149" t="str">
        <f>'2. CFR Return'!$T40</f>
        <v/>
      </c>
      <c r="AH7" s="149" t="str">
        <f>'2. CFR Return'!$T41</f>
        <v/>
      </c>
      <c r="AI7" s="149" t="str">
        <f>'2. CFR Return'!$T42</f>
        <v/>
      </c>
      <c r="AJ7" s="149" t="str">
        <f>'2. CFR Return'!$T43</f>
        <v/>
      </c>
      <c r="AK7" s="149" t="str">
        <f>'2. CFR Return'!$T44</f>
        <v/>
      </c>
      <c r="AL7" s="149" t="str">
        <f>'2. CFR Return'!$T45</f>
        <v/>
      </c>
      <c r="AM7" s="149" t="str">
        <f>'2. CFR Return'!$T46</f>
        <v/>
      </c>
      <c r="AN7" s="149" t="str">
        <f>'2. CFR Return'!$T47</f>
        <v/>
      </c>
      <c r="AO7" s="149" t="str">
        <f>'2. CFR Return'!$T48</f>
        <v/>
      </c>
      <c r="AP7" s="149" t="str">
        <f>'2. CFR Return'!$T49</f>
        <v/>
      </c>
      <c r="AQ7" s="149" t="str">
        <f>'2. CFR Return'!$T50</f>
        <v/>
      </c>
      <c r="AR7" s="149" t="str">
        <f>'2. CFR Return'!$T51</f>
        <v/>
      </c>
      <c r="AS7" s="149" t="str">
        <f>'2. CFR Return'!$T52</f>
        <v/>
      </c>
      <c r="AT7" s="149" t="str">
        <f>'2. CFR Return'!$T53</f>
        <v/>
      </c>
      <c r="AU7" s="149" t="str">
        <f>'2. CFR Return'!$T54</f>
        <v/>
      </c>
      <c r="AV7" s="149" t="str">
        <f>'2. CFR Return'!$T55</f>
        <v/>
      </c>
      <c r="AW7" s="149" t="str">
        <f>'2. CFR Return'!$T56</f>
        <v/>
      </c>
      <c r="AX7" s="149" t="str">
        <f>'2. CFR Return'!$T57</f>
        <v/>
      </c>
      <c r="AY7" s="149" t="str">
        <f>'2. CFR Return'!$T58</f>
        <v/>
      </c>
      <c r="AZ7" s="149" t="str">
        <f>'2. CFR Return'!$T59</f>
        <v/>
      </c>
      <c r="BA7" s="149" t="str">
        <f>'2. CFR Return'!$T60</f>
        <v/>
      </c>
      <c r="BB7" s="149" t="str">
        <f>'2. CFR Return'!$T61</f>
        <v/>
      </c>
      <c r="BC7" s="149" t="str">
        <f>'2. CFR Return'!$T62</f>
        <v/>
      </c>
      <c r="BD7" s="149" t="str">
        <f>'2. CFR Return'!$T63</f>
        <v/>
      </c>
      <c r="BE7" s="149" t="str">
        <f>'2. CFR Return'!$T64</f>
        <v/>
      </c>
      <c r="BF7" s="149" t="str">
        <f>'2. CFR Return'!$T65</f>
        <v/>
      </c>
      <c r="BG7" s="149" t="str">
        <f>'2. CFR Return'!$T66</f>
        <v/>
      </c>
      <c r="BH7" s="149" t="str">
        <f>'2. CFR Return'!$T67</f>
        <v/>
      </c>
      <c r="BI7" s="149" t="str">
        <f>'2. CFR Return'!$T68</f>
        <v/>
      </c>
      <c r="BJ7" s="149">
        <f>SUM(Y7:BI7)</f>
        <v>0</v>
      </c>
      <c r="BK7" s="149">
        <f>'2. CFR Return'!$T13</f>
        <v>0</v>
      </c>
      <c r="BL7" s="149">
        <f>X7-BJ7</f>
        <v>0</v>
      </c>
      <c r="BM7" s="149">
        <f>BK7+BL7</f>
        <v>0</v>
      </c>
      <c r="BN7" s="149" t="str">
        <f>'2. CFR Return'!$T79</f>
        <v/>
      </c>
      <c r="BO7" s="149">
        <f>'2. CFR Return'!S80</f>
        <v>0</v>
      </c>
      <c r="BP7" s="149" t="str">
        <f>'2. CFR Return'!$T81</f>
        <v/>
      </c>
      <c r="BQ7" s="149">
        <f>SUM(BN7:BP7)</f>
        <v>0</v>
      </c>
      <c r="BR7" s="149" t="str">
        <f>'2. CFR Return'!$T84</f>
        <v/>
      </c>
      <c r="BS7" s="149" t="str">
        <f>'2. CFR Return'!$T85</f>
        <v/>
      </c>
      <c r="BT7" s="149" t="str">
        <f>'2. CFR Return'!$T86</f>
        <v/>
      </c>
      <c r="BU7" s="149" t="str">
        <f>'2. CFR Return'!$T87</f>
        <v/>
      </c>
      <c r="BV7" s="149" t="str">
        <f>'2. CFR Return'!$T88</f>
        <v/>
      </c>
      <c r="BW7" s="149" t="str">
        <f>'2. CFR Return'!$T89</f>
        <v/>
      </c>
      <c r="BX7" s="149" t="str">
        <f>'2. CFR Return'!$T90</f>
        <v/>
      </c>
      <c r="BY7" s="149" t="str">
        <f>'2. CFR Return'!$T91</f>
        <v/>
      </c>
      <c r="BZ7" s="149">
        <f>SUM(BR7:BY7)</f>
        <v>0</v>
      </c>
      <c r="CA7" s="149">
        <f>'2. CFR Return'!$T77</f>
        <v>0</v>
      </c>
      <c r="CB7" s="149">
        <f>BQ7-BZ7</f>
        <v>0</v>
      </c>
      <c r="CC7" s="149">
        <f>CA7+CB7</f>
        <v>0</v>
      </c>
      <c r="CD7" s="149" t="str">
        <f>'2. CFR Return'!$T102</f>
        <v/>
      </c>
      <c r="CE7" s="149" t="str">
        <f>'2. CFR Return'!$T103</f>
        <v/>
      </c>
      <c r="CF7" s="149"/>
      <c r="CG7" s="149" t="str">
        <f>'2. CFR Return'!$T106</f>
        <v/>
      </c>
      <c r="CH7" s="149" t="str">
        <f>'2. CFR Return'!$T107</f>
        <v/>
      </c>
      <c r="CI7" s="149"/>
      <c r="CJ7" s="149">
        <f>'2. CFR Return'!$T100</f>
        <v>0</v>
      </c>
      <c r="CK7" s="149">
        <f>CF7-CI7</f>
        <v>0</v>
      </c>
      <c r="CL7" s="149">
        <f>CJ7+CK7</f>
        <v>0</v>
      </c>
      <c r="CM7" s="149" t="str">
        <f>'2. CFR Return'!$T119</f>
        <v/>
      </c>
      <c r="CN7" s="149" t="str">
        <f>'2. CFR Return'!$T120</f>
        <v/>
      </c>
      <c r="CO7" s="149" t="str">
        <f>'2. CFR Return'!$T121</f>
        <v/>
      </c>
      <c r="CP7" s="149" t="str">
        <f>'2. CFR Return'!$T122</f>
        <v/>
      </c>
      <c r="CQ7" s="149" t="str">
        <f>'2. CFR Return'!$T123</f>
        <v/>
      </c>
      <c r="CR7" s="149">
        <f>SUM(CM7:CQ7)</f>
        <v>0</v>
      </c>
      <c r="CS7" s="162"/>
    </row>
  </sheetData>
  <mergeCells count="5">
    <mergeCell ref="A4:F4"/>
    <mergeCell ref="G4:BM4"/>
    <mergeCell ref="BN4:CC4"/>
    <mergeCell ref="CD4:CL4"/>
    <mergeCell ref="CM4:CR4"/>
  </mergeCells>
  <pageMargins left="0.7" right="0.7" top="0.75" bottom="0.75" header="0.3" footer="0.3"/>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B0F0"/>
  </sheetPr>
  <dimension ref="A1:DZ7"/>
  <sheetViews>
    <sheetView workbookViewId="0">
      <selection activeCell="L7" sqref="L7"/>
    </sheetView>
  </sheetViews>
  <sheetFormatPr defaultRowHeight="14.5"/>
  <cols>
    <col min="2" max="2" width="39.54296875" customWidth="1"/>
    <col min="3" max="3" width="12.81640625" customWidth="1"/>
    <col min="4" max="4" width="11.1796875" customWidth="1"/>
    <col min="7" max="7" width="10.7265625" bestFit="1" customWidth="1"/>
    <col min="24" max="24" width="10.7265625" bestFit="1" customWidth="1"/>
    <col min="120" max="120" width="12.453125" bestFit="1" customWidth="1"/>
  </cols>
  <sheetData>
    <row r="1" spans="1:130" s="129" customFormat="1" ht="15.5">
      <c r="A1" s="127" t="str">
        <f>'% Budget Variance'!A1</f>
        <v>Birmingham Financial Monitoring Return 2025/26</v>
      </c>
      <c r="B1" s="128"/>
      <c r="H1" s="129" t="str">
        <f>YTD!H1</f>
        <v xml:space="preserve"> Quarter 1 2025-26</v>
      </c>
    </row>
    <row r="2" spans="1:130" s="129" customFormat="1" ht="15.5">
      <c r="A2" s="127" t="str">
        <f>'% Budget Variance'!A2</f>
        <v xml:space="preserve">LA Data Sheet - 2025-26 </v>
      </c>
      <c r="B2" s="127" t="s">
        <v>747</v>
      </c>
    </row>
    <row r="3" spans="1:130" s="129" customFormat="1" ht="15.5">
      <c r="A3" s="150"/>
      <c r="B3" s="150"/>
    </row>
    <row r="4" spans="1:130" s="135" customFormat="1" ht="12.75" customHeight="1">
      <c r="A4" s="708" t="s">
        <v>218</v>
      </c>
      <c r="B4" s="709"/>
      <c r="C4" s="709"/>
      <c r="D4" s="709"/>
      <c r="E4" s="709"/>
      <c r="F4" s="710"/>
      <c r="G4" s="711" t="s">
        <v>219</v>
      </c>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712"/>
      <c r="BA4" s="712"/>
      <c r="BB4" s="712"/>
      <c r="BC4" s="712"/>
      <c r="BD4" s="712"/>
      <c r="BE4" s="712"/>
      <c r="BF4" s="712"/>
      <c r="BG4" s="712"/>
      <c r="BH4" s="712"/>
      <c r="BI4" s="712"/>
      <c r="BJ4" s="712"/>
      <c r="BK4" s="712"/>
      <c r="BL4" s="712"/>
      <c r="BM4" s="713"/>
      <c r="BN4" s="714" t="s">
        <v>220</v>
      </c>
      <c r="BO4" s="715"/>
      <c r="BP4" s="715"/>
      <c r="BQ4" s="715"/>
      <c r="BR4" s="715"/>
      <c r="BS4" s="715"/>
      <c r="BT4" s="715"/>
      <c r="BU4" s="715"/>
      <c r="BV4" s="715"/>
      <c r="BW4" s="715"/>
      <c r="BX4" s="715"/>
      <c r="BY4" s="715"/>
      <c r="BZ4" s="715"/>
      <c r="CA4" s="715"/>
      <c r="CB4" s="715"/>
      <c r="CC4" s="716"/>
      <c r="CD4" s="717" t="s">
        <v>221</v>
      </c>
      <c r="CE4" s="718"/>
      <c r="CF4" s="718"/>
      <c r="CG4" s="718"/>
      <c r="CH4" s="718"/>
      <c r="CI4" s="718"/>
      <c r="CJ4" s="718"/>
      <c r="CK4" s="718"/>
      <c r="CL4" s="719"/>
      <c r="CM4" s="720" t="s">
        <v>222</v>
      </c>
      <c r="CN4" s="720"/>
      <c r="CO4" s="720"/>
      <c r="CP4" s="720"/>
      <c r="CQ4" s="720"/>
      <c r="CR4" s="720"/>
      <c r="CS4" s="721" t="s">
        <v>223</v>
      </c>
      <c r="CT4" s="722"/>
      <c r="CU4" s="722"/>
      <c r="CV4" s="722"/>
      <c r="CW4" s="722"/>
      <c r="CX4" s="722"/>
      <c r="CY4" s="722"/>
      <c r="CZ4" s="722"/>
      <c r="DA4" s="723"/>
      <c r="DB4" s="702" t="s">
        <v>224</v>
      </c>
      <c r="DC4" s="703"/>
      <c r="DD4" s="703"/>
      <c r="DE4" s="703"/>
      <c r="DF4" s="703"/>
      <c r="DG4" s="703"/>
      <c r="DH4" s="703"/>
      <c r="DI4" s="703"/>
      <c r="DJ4" s="704"/>
      <c r="DK4" s="705" t="s">
        <v>225</v>
      </c>
      <c r="DL4" s="705"/>
      <c r="DM4" s="705"/>
      <c r="DN4" s="705"/>
      <c r="DO4" s="705"/>
      <c r="DP4" s="705"/>
      <c r="DQ4" s="705"/>
      <c r="DR4" s="705"/>
      <c r="DS4" s="705"/>
      <c r="DT4" s="706" t="s">
        <v>226</v>
      </c>
      <c r="DU4" s="706"/>
      <c r="DV4" s="707" t="s">
        <v>227</v>
      </c>
      <c r="DW4" s="707"/>
      <c r="DX4" s="134"/>
    </row>
    <row r="5" spans="1:130" s="146" customFormat="1" ht="139.5">
      <c r="A5" s="136" t="s">
        <v>228</v>
      </c>
      <c r="B5" s="136" t="s">
        <v>214</v>
      </c>
      <c r="C5" s="136" t="s">
        <v>229</v>
      </c>
      <c r="D5" s="136" t="s">
        <v>230</v>
      </c>
      <c r="E5" s="136" t="s">
        <v>231</v>
      </c>
      <c r="F5" s="136" t="s">
        <v>232</v>
      </c>
      <c r="G5" s="137" t="s">
        <v>233</v>
      </c>
      <c r="H5" s="137" t="s">
        <v>22</v>
      </c>
      <c r="I5" s="137" t="s">
        <v>234</v>
      </c>
      <c r="J5" s="137" t="s">
        <v>271</v>
      </c>
      <c r="K5" s="137" t="s">
        <v>26</v>
      </c>
      <c r="L5" s="137" t="s">
        <v>28</v>
      </c>
      <c r="M5" s="137" t="s">
        <v>235</v>
      </c>
      <c r="N5" s="137" t="s">
        <v>273</v>
      </c>
      <c r="O5" s="137" t="s">
        <v>272</v>
      </c>
      <c r="P5" s="137" t="s">
        <v>32</v>
      </c>
      <c r="Q5" s="137" t="s">
        <v>34</v>
      </c>
      <c r="R5" s="137" t="s">
        <v>36</v>
      </c>
      <c r="S5" s="137" t="s">
        <v>236</v>
      </c>
      <c r="T5" s="137" t="s">
        <v>40</v>
      </c>
      <c r="U5" s="137" t="s">
        <v>237</v>
      </c>
      <c r="V5" s="137" t="s">
        <v>280</v>
      </c>
      <c r="W5" s="137" t="s">
        <v>281</v>
      </c>
      <c r="X5" s="137" t="s">
        <v>238</v>
      </c>
      <c r="Y5" s="137" t="s">
        <v>46</v>
      </c>
      <c r="Z5" s="137" t="s">
        <v>239</v>
      </c>
      <c r="AA5" s="137" t="s">
        <v>50</v>
      </c>
      <c r="AB5" s="137" t="s">
        <v>52</v>
      </c>
      <c r="AC5" s="137" t="s">
        <v>54</v>
      </c>
      <c r="AD5" s="137" t="s">
        <v>56</v>
      </c>
      <c r="AE5" s="137" t="s">
        <v>58</v>
      </c>
      <c r="AF5" s="137" t="s">
        <v>60</v>
      </c>
      <c r="AG5" s="137" t="s">
        <v>240</v>
      </c>
      <c r="AH5" s="137" t="s">
        <v>64</v>
      </c>
      <c r="AI5" s="137" t="s">
        <v>66</v>
      </c>
      <c r="AJ5" s="137" t="s">
        <v>68</v>
      </c>
      <c r="AK5" s="137" t="s">
        <v>70</v>
      </c>
      <c r="AL5" s="137" t="s">
        <v>72</v>
      </c>
      <c r="AM5" s="137" t="s">
        <v>74</v>
      </c>
      <c r="AN5" s="137" t="s">
        <v>76</v>
      </c>
      <c r="AO5" s="137" t="s">
        <v>78</v>
      </c>
      <c r="AP5" s="137" t="s">
        <v>80</v>
      </c>
      <c r="AQ5" s="137" t="s">
        <v>241</v>
      </c>
      <c r="AR5" s="137" t="s">
        <v>787</v>
      </c>
      <c r="AS5" s="137" t="s">
        <v>785</v>
      </c>
      <c r="AT5" s="137" t="s">
        <v>786</v>
      </c>
      <c r="AU5" s="137" t="s">
        <v>788</v>
      </c>
      <c r="AV5" s="137" t="s">
        <v>789</v>
      </c>
      <c r="AW5" s="137" t="s">
        <v>790</v>
      </c>
      <c r="AX5" s="137" t="s">
        <v>791</v>
      </c>
      <c r="AY5" s="137" t="s">
        <v>242</v>
      </c>
      <c r="AZ5" s="137" t="s">
        <v>88</v>
      </c>
      <c r="BA5" s="137" t="s">
        <v>90</v>
      </c>
      <c r="BB5" s="137" t="s">
        <v>92</v>
      </c>
      <c r="BC5" s="137" t="s">
        <v>94</v>
      </c>
      <c r="BD5" s="137" t="s">
        <v>96</v>
      </c>
      <c r="BE5" s="137" t="s">
        <v>98</v>
      </c>
      <c r="BF5" s="137" t="s">
        <v>286</v>
      </c>
      <c r="BG5" s="137" t="s">
        <v>287</v>
      </c>
      <c r="BH5" s="137" t="s">
        <v>100</v>
      </c>
      <c r="BI5" s="137" t="s">
        <v>102</v>
      </c>
      <c r="BJ5" s="137" t="s">
        <v>243</v>
      </c>
      <c r="BK5" s="137" t="s">
        <v>244</v>
      </c>
      <c r="BL5" s="137" t="s">
        <v>245</v>
      </c>
      <c r="BM5" s="137" t="s">
        <v>246</v>
      </c>
      <c r="BN5" s="138" t="s">
        <v>247</v>
      </c>
      <c r="BO5" s="138" t="s">
        <v>112</v>
      </c>
      <c r="BP5" s="138" t="s">
        <v>114</v>
      </c>
      <c r="BQ5" s="138" t="s">
        <v>248</v>
      </c>
      <c r="BR5" s="138" t="s">
        <v>118</v>
      </c>
      <c r="BS5" s="138" t="s">
        <v>249</v>
      </c>
      <c r="BT5" s="138" t="s">
        <v>122</v>
      </c>
      <c r="BU5" s="138" t="s">
        <v>787</v>
      </c>
      <c r="BV5" s="138" t="s">
        <v>785</v>
      </c>
      <c r="BW5" s="138" t="s">
        <v>788</v>
      </c>
      <c r="BX5" s="138" t="s">
        <v>792</v>
      </c>
      <c r="BY5" s="138" t="s">
        <v>790</v>
      </c>
      <c r="BZ5" s="138" t="s">
        <v>250</v>
      </c>
      <c r="CA5" s="138" t="s">
        <v>251</v>
      </c>
      <c r="CB5" s="138" t="s">
        <v>252</v>
      </c>
      <c r="CC5" s="138" t="s">
        <v>253</v>
      </c>
      <c r="CD5" s="139" t="s">
        <v>254</v>
      </c>
      <c r="CE5" s="139" t="s">
        <v>134</v>
      </c>
      <c r="CF5" s="139" t="s">
        <v>255</v>
      </c>
      <c r="CG5" s="139" t="s">
        <v>138</v>
      </c>
      <c r="CH5" s="139" t="s">
        <v>140</v>
      </c>
      <c r="CI5" s="139" t="s">
        <v>256</v>
      </c>
      <c r="CJ5" s="139" t="s">
        <v>257</v>
      </c>
      <c r="CK5" s="139" t="s">
        <v>258</v>
      </c>
      <c r="CL5" s="139" t="s">
        <v>259</v>
      </c>
      <c r="CM5" s="130" t="s">
        <v>147</v>
      </c>
      <c r="CN5" s="130" t="s">
        <v>149</v>
      </c>
      <c r="CO5" s="130" t="s">
        <v>260</v>
      </c>
      <c r="CP5" s="130" t="s">
        <v>153</v>
      </c>
      <c r="CQ5" s="130" t="s">
        <v>155</v>
      </c>
      <c r="CR5" s="130" t="s">
        <v>261</v>
      </c>
      <c r="CS5" s="140" t="s">
        <v>262</v>
      </c>
      <c r="CT5" s="140" t="s">
        <v>263</v>
      </c>
      <c r="CU5" s="140" t="s">
        <v>264</v>
      </c>
      <c r="CV5" s="140" t="s">
        <v>165</v>
      </c>
      <c r="CW5" s="140" t="s">
        <v>166</v>
      </c>
      <c r="CX5" s="140" t="s">
        <v>827</v>
      </c>
      <c r="CY5" s="140" t="s">
        <v>265</v>
      </c>
      <c r="CZ5" s="140" t="s">
        <v>167</v>
      </c>
      <c r="DA5" s="140" t="s">
        <v>266</v>
      </c>
      <c r="DB5" s="141" t="s">
        <v>262</v>
      </c>
      <c r="DC5" s="141" t="s">
        <v>263</v>
      </c>
      <c r="DD5" s="141" t="s">
        <v>264</v>
      </c>
      <c r="DE5" s="141" t="s">
        <v>165</v>
      </c>
      <c r="DF5" s="141" t="s">
        <v>166</v>
      </c>
      <c r="DG5" s="141" t="s">
        <v>827</v>
      </c>
      <c r="DH5" s="141" t="s">
        <v>265</v>
      </c>
      <c r="DI5" s="141" t="s">
        <v>167</v>
      </c>
      <c r="DJ5" s="141" t="s">
        <v>266</v>
      </c>
      <c r="DK5" s="131" t="s">
        <v>170</v>
      </c>
      <c r="DL5" s="131" t="s">
        <v>172</v>
      </c>
      <c r="DM5" s="131" t="s">
        <v>173</v>
      </c>
      <c r="DN5" s="131" t="s">
        <v>174</v>
      </c>
      <c r="DO5" s="131" t="s">
        <v>175</v>
      </c>
      <c r="DP5" s="131" t="s">
        <v>177</v>
      </c>
      <c r="DQ5" s="131" t="s">
        <v>178</v>
      </c>
      <c r="DR5" s="131" t="s">
        <v>179</v>
      </c>
      <c r="DS5" s="131" t="s">
        <v>267</v>
      </c>
      <c r="DT5" s="142" t="s">
        <v>170</v>
      </c>
      <c r="DU5" s="142" t="s">
        <v>172</v>
      </c>
      <c r="DV5" s="143" t="s">
        <v>175</v>
      </c>
      <c r="DW5" s="143" t="s">
        <v>177</v>
      </c>
      <c r="DX5" s="144" t="s">
        <v>268</v>
      </c>
      <c r="DY5" s="145" t="s">
        <v>269</v>
      </c>
    </row>
    <row r="6" spans="1:130" s="135" customFormat="1" ht="15.5">
      <c r="A6" s="151"/>
      <c r="B6" s="151"/>
      <c r="C6" s="151"/>
      <c r="D6" s="151"/>
      <c r="E6" s="151"/>
      <c r="F6" s="151"/>
      <c r="G6" s="152" t="s">
        <v>19</v>
      </c>
      <c r="H6" s="152" t="s">
        <v>21</v>
      </c>
      <c r="I6" s="152" t="s">
        <v>23</v>
      </c>
      <c r="J6" s="152" t="s">
        <v>270</v>
      </c>
      <c r="K6" s="152" t="s">
        <v>25</v>
      </c>
      <c r="L6" s="152" t="s">
        <v>27</v>
      </c>
      <c r="M6" s="152" t="s">
        <v>29</v>
      </c>
      <c r="N6" s="152" t="s">
        <v>284</v>
      </c>
      <c r="O6" s="152" t="s">
        <v>285</v>
      </c>
      <c r="P6" s="152" t="s">
        <v>31</v>
      </c>
      <c r="Q6" s="152" t="s">
        <v>33</v>
      </c>
      <c r="R6" s="152" t="s">
        <v>35</v>
      </c>
      <c r="S6" s="152" t="s">
        <v>37</v>
      </c>
      <c r="T6" s="152" t="s">
        <v>39</v>
      </c>
      <c r="U6" s="152" t="s">
        <v>41</v>
      </c>
      <c r="V6" s="152" t="s">
        <v>276</v>
      </c>
      <c r="W6" s="152" t="s">
        <v>277</v>
      </c>
      <c r="X6" s="153"/>
      <c r="Y6" s="152" t="s">
        <v>45</v>
      </c>
      <c r="Z6" s="152" t="s">
        <v>47</v>
      </c>
      <c r="AA6" s="152" t="s">
        <v>49</v>
      </c>
      <c r="AB6" s="152" t="s">
        <v>51</v>
      </c>
      <c r="AC6" s="152" t="s">
        <v>53</v>
      </c>
      <c r="AD6" s="152" t="s">
        <v>55</v>
      </c>
      <c r="AE6" s="152" t="s">
        <v>57</v>
      </c>
      <c r="AF6" s="152" t="s">
        <v>59</v>
      </c>
      <c r="AG6" s="152" t="s">
        <v>61</v>
      </c>
      <c r="AH6" s="152" t="s">
        <v>63</v>
      </c>
      <c r="AI6" s="152" t="s">
        <v>65</v>
      </c>
      <c r="AJ6" s="152" t="s">
        <v>67</v>
      </c>
      <c r="AK6" s="152" t="s">
        <v>69</v>
      </c>
      <c r="AL6" s="152" t="s">
        <v>71</v>
      </c>
      <c r="AM6" s="152" t="s">
        <v>73</v>
      </c>
      <c r="AN6" s="152" t="s">
        <v>75</v>
      </c>
      <c r="AO6" s="152" t="s">
        <v>77</v>
      </c>
      <c r="AP6" s="152" t="s">
        <v>79</v>
      </c>
      <c r="AQ6" s="152" t="s">
        <v>81</v>
      </c>
      <c r="AR6" s="152" t="s">
        <v>773</v>
      </c>
      <c r="AS6" s="152" t="s">
        <v>774</v>
      </c>
      <c r="AT6" s="152" t="s">
        <v>775</v>
      </c>
      <c r="AU6" s="152" t="s">
        <v>776</v>
      </c>
      <c r="AV6" s="152" t="s">
        <v>777</v>
      </c>
      <c r="AW6" s="152" t="s">
        <v>778</v>
      </c>
      <c r="AX6" s="152" t="s">
        <v>779</v>
      </c>
      <c r="AY6" s="152" t="s">
        <v>85</v>
      </c>
      <c r="AZ6" s="152" t="s">
        <v>87</v>
      </c>
      <c r="BA6" s="152" t="s">
        <v>89</v>
      </c>
      <c r="BB6" s="152" t="s">
        <v>91</v>
      </c>
      <c r="BC6" s="152" t="s">
        <v>93</v>
      </c>
      <c r="BD6" s="152" t="s">
        <v>95</v>
      </c>
      <c r="BE6" s="152" t="s">
        <v>97</v>
      </c>
      <c r="BF6" s="152" t="s">
        <v>282</v>
      </c>
      <c r="BG6" s="152" t="s">
        <v>283</v>
      </c>
      <c r="BH6" s="152" t="s">
        <v>99</v>
      </c>
      <c r="BI6" s="152" t="s">
        <v>101</v>
      </c>
      <c r="BJ6" s="152"/>
      <c r="BK6" s="152"/>
      <c r="BL6" s="152"/>
      <c r="BM6" s="152"/>
      <c r="BN6" s="154" t="s">
        <v>109</v>
      </c>
      <c r="BO6" s="154" t="s">
        <v>111</v>
      </c>
      <c r="BP6" s="154" t="s">
        <v>113</v>
      </c>
      <c r="BQ6" s="154"/>
      <c r="BR6" s="154" t="s">
        <v>117</v>
      </c>
      <c r="BS6" s="154" t="s">
        <v>119</v>
      </c>
      <c r="BT6" s="154" t="s">
        <v>121</v>
      </c>
      <c r="BU6" s="154" t="s">
        <v>780</v>
      </c>
      <c r="BV6" s="154" t="s">
        <v>781</v>
      </c>
      <c r="BW6" s="154" t="s">
        <v>782</v>
      </c>
      <c r="BX6" s="154" t="s">
        <v>783</v>
      </c>
      <c r="BY6" s="154" t="s">
        <v>784</v>
      </c>
      <c r="BZ6" s="154"/>
      <c r="CA6" s="154"/>
      <c r="CB6" s="154"/>
      <c r="CC6" s="154"/>
      <c r="CD6" s="155" t="s">
        <v>131</v>
      </c>
      <c r="CE6" s="155" t="s">
        <v>133</v>
      </c>
      <c r="CF6" s="155"/>
      <c r="CG6" s="155" t="s">
        <v>137</v>
      </c>
      <c r="CH6" s="155" t="s">
        <v>139</v>
      </c>
      <c r="CI6" s="155"/>
      <c r="CJ6" s="155"/>
      <c r="CK6" s="155"/>
      <c r="CL6" s="155"/>
      <c r="CM6" s="156" t="s">
        <v>146</v>
      </c>
      <c r="CN6" s="156" t="s">
        <v>148</v>
      </c>
      <c r="CO6" s="156" t="s">
        <v>150</v>
      </c>
      <c r="CP6" s="156" t="s">
        <v>152</v>
      </c>
      <c r="CQ6" s="156" t="s">
        <v>154</v>
      </c>
      <c r="CR6" s="156"/>
      <c r="CS6" s="157"/>
      <c r="CT6" s="157"/>
      <c r="CU6" s="157"/>
      <c r="CV6" s="157"/>
      <c r="CW6" s="157"/>
      <c r="CX6" s="157"/>
      <c r="CY6" s="157"/>
      <c r="CZ6" s="157"/>
      <c r="DA6" s="157"/>
      <c r="DB6" s="158"/>
      <c r="DC6" s="158"/>
      <c r="DD6" s="158"/>
      <c r="DE6" s="158"/>
      <c r="DF6" s="158"/>
      <c r="DG6" s="158"/>
      <c r="DH6" s="158"/>
      <c r="DI6" s="158"/>
      <c r="DJ6" s="158"/>
      <c r="DK6" s="159"/>
      <c r="DL6" s="159"/>
      <c r="DM6" s="159"/>
      <c r="DN6" s="159"/>
      <c r="DO6" s="159"/>
      <c r="DP6" s="159"/>
      <c r="DQ6" s="159"/>
      <c r="DR6" s="159"/>
      <c r="DS6" s="159"/>
      <c r="DT6" s="132"/>
      <c r="DU6" s="132"/>
      <c r="DV6" s="133"/>
      <c r="DW6" s="133"/>
      <c r="DX6" s="160"/>
      <c r="DY6" s="161"/>
    </row>
    <row r="7" spans="1:130" s="135" customFormat="1" ht="31">
      <c r="A7" s="148" t="str">
        <f>'2. CFR Return'!E4</f>
        <v>0000</v>
      </c>
      <c r="B7" s="148" t="str">
        <f>'2. CFR Return'!E3</f>
        <v xml:space="preserve">SELECT SCHOOL HERE </v>
      </c>
      <c r="C7" s="148" t="str">
        <f>H1</f>
        <v xml:space="preserve"> Quarter 1 2025-26</v>
      </c>
      <c r="D7" s="148"/>
      <c r="E7" s="148" t="str">
        <f>'2. CFR Return'!E5</f>
        <v>Quarter 3</v>
      </c>
      <c r="F7" s="148"/>
      <c r="G7" s="149">
        <f>'2. CFR Return'!$V15</f>
        <v>0</v>
      </c>
      <c r="H7" s="149">
        <f>'2. CFR Return'!$V16</f>
        <v>0</v>
      </c>
      <c r="I7" s="149">
        <f>'2. CFR Return'!$V17</f>
        <v>0</v>
      </c>
      <c r="J7" s="149">
        <f>'2. CFR Return'!$V18</f>
        <v>0</v>
      </c>
      <c r="K7" s="149">
        <f>'2. CFR Return'!$V19</f>
        <v>0</v>
      </c>
      <c r="L7" s="149">
        <f>'2. CFR Return'!$V20</f>
        <v>0</v>
      </c>
      <c r="M7" s="149">
        <f>'2. CFR Return'!$V21</f>
        <v>0</v>
      </c>
      <c r="N7" s="149">
        <f>'2. CFR Return'!$V22</f>
        <v>0</v>
      </c>
      <c r="O7" s="149">
        <f>'2. CFR Return'!$V23</f>
        <v>0</v>
      </c>
      <c r="P7" s="149">
        <f>'2. CFR Return'!$V24</f>
        <v>0</v>
      </c>
      <c r="Q7" s="149">
        <f>'2. CFR Return'!$V25</f>
        <v>0</v>
      </c>
      <c r="R7" s="149">
        <f>'2. CFR Return'!$V26</f>
        <v>0</v>
      </c>
      <c r="S7" s="149">
        <f>'2. CFR Return'!$V27</f>
        <v>0</v>
      </c>
      <c r="T7" s="149">
        <f>'2. CFR Return'!$V28</f>
        <v>0</v>
      </c>
      <c r="U7" s="149">
        <f>'2. CFR Return'!$V29</f>
        <v>0</v>
      </c>
      <c r="V7" s="149"/>
      <c r="W7" s="149"/>
      <c r="X7" s="149">
        <f>SUM(G7:W7)</f>
        <v>0</v>
      </c>
      <c r="Y7" s="149">
        <f>'2. CFR Return'!$V32</f>
        <v>0</v>
      </c>
      <c r="Z7" s="149">
        <f>'2. CFR Return'!$V33</f>
        <v>0</v>
      </c>
      <c r="AA7" s="149">
        <f>'2. CFR Return'!$V34</f>
        <v>0</v>
      </c>
      <c r="AB7" s="149">
        <f>'2. CFR Return'!$V35</f>
        <v>0</v>
      </c>
      <c r="AC7" s="149">
        <f>'2. CFR Return'!$V36</f>
        <v>0</v>
      </c>
      <c r="AD7" s="149">
        <f>'2. CFR Return'!$V37</f>
        <v>0</v>
      </c>
      <c r="AE7" s="149">
        <f>'2. CFR Return'!$V38</f>
        <v>0</v>
      </c>
      <c r="AF7" s="149">
        <f>'2. CFR Return'!$V39</f>
        <v>0</v>
      </c>
      <c r="AG7" s="149">
        <f>'2. CFR Return'!$V40</f>
        <v>0</v>
      </c>
      <c r="AH7" s="149">
        <f>'2. CFR Return'!$V41</f>
        <v>0</v>
      </c>
      <c r="AI7" s="149">
        <f>'2. CFR Return'!$V42</f>
        <v>0</v>
      </c>
      <c r="AJ7" s="149">
        <f>'2. CFR Return'!$V43</f>
        <v>0</v>
      </c>
      <c r="AK7" s="149">
        <f>'2. CFR Return'!$V44</f>
        <v>0</v>
      </c>
      <c r="AL7" s="149">
        <f>'2. CFR Return'!$V45</f>
        <v>0</v>
      </c>
      <c r="AM7" s="149">
        <f>'2. CFR Return'!$V46</f>
        <v>0</v>
      </c>
      <c r="AN7" s="149">
        <f>'2. CFR Return'!$V47</f>
        <v>0</v>
      </c>
      <c r="AO7" s="149">
        <f>'2. CFR Return'!$V48</f>
        <v>0</v>
      </c>
      <c r="AP7" s="149">
        <f>'2. CFR Return'!$V49</f>
        <v>0</v>
      </c>
      <c r="AQ7" s="149">
        <f>'2. CFR Return'!$V50</f>
        <v>0</v>
      </c>
      <c r="AR7" s="149">
        <f>'2. CFR Return'!$V51</f>
        <v>0</v>
      </c>
      <c r="AS7" s="149">
        <f>'2. CFR Return'!$V52</f>
        <v>0</v>
      </c>
      <c r="AT7" s="149">
        <f>'2. CFR Return'!$V53</f>
        <v>0</v>
      </c>
      <c r="AU7" s="149">
        <f>'2. CFR Return'!$V54</f>
        <v>0</v>
      </c>
      <c r="AV7" s="149">
        <f>'2. CFR Return'!$V55</f>
        <v>0</v>
      </c>
      <c r="AW7" s="149">
        <f>'2. CFR Return'!$V56</f>
        <v>0</v>
      </c>
      <c r="AX7" s="149">
        <f>'2. CFR Return'!$V57</f>
        <v>0</v>
      </c>
      <c r="AY7" s="149">
        <f>'2. CFR Return'!$V58</f>
        <v>0</v>
      </c>
      <c r="AZ7" s="149">
        <f>'2. CFR Return'!$V59</f>
        <v>0</v>
      </c>
      <c r="BA7" s="149">
        <f>'2. CFR Return'!$V60</f>
        <v>0</v>
      </c>
      <c r="BB7" s="149">
        <f>'2. CFR Return'!$V61</f>
        <v>0</v>
      </c>
      <c r="BC7" s="149">
        <f>'2. CFR Return'!$V62</f>
        <v>0</v>
      </c>
      <c r="BD7" s="149">
        <f>'2. CFR Return'!$V63</f>
        <v>0</v>
      </c>
      <c r="BE7" s="149">
        <f>'2. CFR Return'!$V64</f>
        <v>0</v>
      </c>
      <c r="BF7" s="149">
        <f>'2. CFR Return'!$V65</f>
        <v>0</v>
      </c>
      <c r="BG7" s="149">
        <f>'2. CFR Return'!$V66</f>
        <v>0</v>
      </c>
      <c r="BH7" s="149">
        <f>'2. CFR Return'!$V67</f>
        <v>0</v>
      </c>
      <c r="BI7" s="149">
        <f>'2. CFR Return'!$V68</f>
        <v>0</v>
      </c>
      <c r="BJ7" s="149">
        <f>SUM(Y7:BI7)</f>
        <v>0</v>
      </c>
      <c r="BK7" s="149">
        <f>'2. CFR Return'!$V13</f>
        <v>0</v>
      </c>
      <c r="BL7" s="149">
        <f>X7-BJ7</f>
        <v>0</v>
      </c>
      <c r="BM7" s="149">
        <f>BK7+BL7</f>
        <v>0</v>
      </c>
      <c r="BN7" s="149">
        <f>'2. CFR Return'!$V79</f>
        <v>0</v>
      </c>
      <c r="BO7" s="149">
        <f>'2. CFR Return'!S80</f>
        <v>0</v>
      </c>
      <c r="BP7" s="149">
        <f>'2. CFR Return'!$V81</f>
        <v>0</v>
      </c>
      <c r="BQ7" s="149">
        <f>SUM(BN7:BP7)</f>
        <v>0</v>
      </c>
      <c r="BR7" s="149">
        <f>'2. CFR Return'!$V84</f>
        <v>0</v>
      </c>
      <c r="BS7" s="149">
        <f>'2. CFR Return'!$V85</f>
        <v>0</v>
      </c>
      <c r="BT7" s="149">
        <f>'2. CFR Return'!$V86</f>
        <v>0</v>
      </c>
      <c r="BU7" s="149">
        <f>'2. CFR Return'!$V87</f>
        <v>0</v>
      </c>
      <c r="BV7" s="149">
        <f>'2. CFR Return'!$V88</f>
        <v>0</v>
      </c>
      <c r="BW7" s="149">
        <f>'2. CFR Return'!$V89</f>
        <v>0</v>
      </c>
      <c r="BX7" s="149">
        <f>'2. CFR Return'!$V90</f>
        <v>0</v>
      </c>
      <c r="BY7" s="149">
        <f>'2. CFR Return'!$V91</f>
        <v>0</v>
      </c>
      <c r="BZ7" s="149">
        <f>SUM(BR7:BY7)</f>
        <v>0</v>
      </c>
      <c r="CA7" s="149">
        <f>'2. CFR Return'!$V77</f>
        <v>0</v>
      </c>
      <c r="CB7" s="149">
        <f>BQ7-BZ7</f>
        <v>0</v>
      </c>
      <c r="CC7" s="149">
        <f>CA7+CB7</f>
        <v>0</v>
      </c>
      <c r="CD7" s="149">
        <f>'2. CFR Return'!$V102</f>
        <v>0</v>
      </c>
      <c r="CE7" s="149">
        <f>'2. CFR Return'!$V103</f>
        <v>0</v>
      </c>
      <c r="CF7" s="149">
        <f>CD7+CE7</f>
        <v>0</v>
      </c>
      <c r="CG7" s="149">
        <f>'2. CFR Return'!$V106</f>
        <v>0</v>
      </c>
      <c r="CH7" s="149">
        <f>'2. CFR Return'!$V107</f>
        <v>0</v>
      </c>
      <c r="CI7" s="149">
        <f>CG7+CH7</f>
        <v>0</v>
      </c>
      <c r="CJ7" s="149">
        <f>'2. CFR Return'!$V100</f>
        <v>0</v>
      </c>
      <c r="CK7" s="149">
        <f>CF7-CI7</f>
        <v>0</v>
      </c>
      <c r="CL7" s="149">
        <f>CJ7+CK7</f>
        <v>0</v>
      </c>
      <c r="CM7" s="149">
        <f>'2. CFR Return'!$V119</f>
        <v>0</v>
      </c>
      <c r="CN7" s="149">
        <f>'2. CFR Return'!$V120</f>
        <v>0</v>
      </c>
      <c r="CO7" s="149">
        <f>'2. CFR Return'!$V121</f>
        <v>0</v>
      </c>
      <c r="CP7" s="149">
        <f>'2. CFR Return'!$V122</f>
        <v>0</v>
      </c>
      <c r="CQ7" s="149">
        <f>'2. CFR Return'!$V123</f>
        <v>0</v>
      </c>
      <c r="CR7" s="149">
        <f>SUM(CM7:CQ7)</f>
        <v>0</v>
      </c>
      <c r="CS7" s="149">
        <f>+'2. CFR Return'!K130</f>
        <v>0</v>
      </c>
      <c r="CT7" s="149">
        <f>+'2. CFR Return'!K133</f>
        <v>0</v>
      </c>
      <c r="CU7" s="149">
        <f>+'2. CFR Return'!K134</f>
        <v>0</v>
      </c>
      <c r="CV7" s="149">
        <f>CS7-CT7+CU7</f>
        <v>0</v>
      </c>
      <c r="CW7" s="149">
        <f>+'2. CFR Return'!K138</f>
        <v>0</v>
      </c>
      <c r="CX7" s="149">
        <f>'2. CFR Return'!K139</f>
        <v>0</v>
      </c>
      <c r="CY7" s="149">
        <f>+'2. CFR Return'!K140</f>
        <v>0</v>
      </c>
      <c r="CZ7" s="149">
        <f>+'2. CFR Return'!K141</f>
        <v>0</v>
      </c>
      <c r="DA7" s="149">
        <f>SUM(CV7:CZ7)</f>
        <v>0</v>
      </c>
      <c r="DB7" s="149">
        <f>+'2. CFR Return'!S130</f>
        <v>0</v>
      </c>
      <c r="DC7" s="149">
        <f>+'2. CFR Return'!S133</f>
        <v>0</v>
      </c>
      <c r="DD7" s="149">
        <f>+'2. CFR Return'!S134</f>
        <v>0</v>
      </c>
      <c r="DE7" s="149">
        <f>DB7-DC7+DD7</f>
        <v>0</v>
      </c>
      <c r="DF7" s="149">
        <f>+'2. CFR Return'!S138</f>
        <v>0</v>
      </c>
      <c r="DG7" s="149">
        <f>'2. CFR Return'!S139</f>
        <v>0</v>
      </c>
      <c r="DH7" s="149">
        <f>+'2. CFR Return'!S140</f>
        <v>0</v>
      </c>
      <c r="DI7" s="149">
        <f>+'2. CFR Return'!S141</f>
        <v>0</v>
      </c>
      <c r="DJ7" s="149">
        <f>SUM(DE7:DI7)</f>
        <v>0</v>
      </c>
      <c r="DK7" s="149">
        <f>+'2. CFR Return'!$V148</f>
        <v>0</v>
      </c>
      <c r="DL7" s="149">
        <f>+'2. CFR Return'!$V149</f>
        <v>0</v>
      </c>
      <c r="DM7" s="149">
        <f>+'2. CFR Return'!$V150</f>
        <v>0</v>
      </c>
      <c r="DN7" s="149">
        <f>+'2. CFR Return'!$V151</f>
        <v>0</v>
      </c>
      <c r="DO7" s="149">
        <f>+'2. CFR Return'!$V152</f>
        <v>0</v>
      </c>
      <c r="DP7" s="149">
        <f>+'2. CFR Return'!$V153</f>
        <v>0</v>
      </c>
      <c r="DQ7" s="149">
        <f>+'2. CFR Return'!$V154</f>
        <v>0</v>
      </c>
      <c r="DR7" s="149">
        <f>+'2. CFR Return'!$V155</f>
        <v>0</v>
      </c>
      <c r="DS7" s="149">
        <f>SUM(DK7:DR7)</f>
        <v>0</v>
      </c>
      <c r="DT7" s="149">
        <f>+'2. CFR Return'!S161</f>
        <v>0</v>
      </c>
      <c r="DU7" s="149">
        <f>+'2. CFR Return'!S162</f>
        <v>0</v>
      </c>
      <c r="DV7" s="149">
        <f>+'2. CFR Return'!S165</f>
        <v>0</v>
      </c>
      <c r="DW7" s="149">
        <f>+'2. CFR Return'!S166</f>
        <v>0</v>
      </c>
      <c r="DX7" s="149">
        <f>+'2. CFR Return'!S168</f>
        <v>0</v>
      </c>
      <c r="DY7" s="147">
        <f>+'2. CFR Return'!S172</f>
        <v>0</v>
      </c>
      <c r="DZ7" s="162">
        <f>+CR7-DA7-DJ7-DS7-DT7-DU7-DV7-DW7-DX7</f>
        <v>0</v>
      </c>
    </row>
  </sheetData>
  <mergeCells count="10">
    <mergeCell ref="DK4:DS4"/>
    <mergeCell ref="DT4:DU4"/>
    <mergeCell ref="DV4:DW4"/>
    <mergeCell ref="A4:F4"/>
    <mergeCell ref="G4:BM4"/>
    <mergeCell ref="BN4:CC4"/>
    <mergeCell ref="CD4:CL4"/>
    <mergeCell ref="CM4:CR4"/>
    <mergeCell ref="CS4:DA4"/>
    <mergeCell ref="DB4:DJ4"/>
  </mergeCells>
  <pageMargins left="0.7" right="0.7" top="0.75" bottom="0.75" header="0.3" footer="0.3"/>
  <headerFoot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e9011b-86f1-4b85-8468-bde8c49fc6b6">
      <Terms xmlns="http://schemas.microsoft.com/office/infopath/2007/PartnerControls"/>
    </lcf76f155ced4ddcb4097134ff3c332f>
    <TaxCatchAll xmlns="db86872e-852c-4ba3-99d1-10e4e07672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8E088D61435D429F53A8D9D38B3C75" ma:contentTypeVersion="16" ma:contentTypeDescription="Create a new document." ma:contentTypeScope="" ma:versionID="a37939fde10610e8f07fd9d9fae39ac9">
  <xsd:schema xmlns:xsd="http://www.w3.org/2001/XMLSchema" xmlns:xs="http://www.w3.org/2001/XMLSchema" xmlns:p="http://schemas.microsoft.com/office/2006/metadata/properties" xmlns:ns2="1ce9011b-86f1-4b85-8468-bde8c49fc6b6" xmlns:ns3="db86872e-852c-4ba3-99d1-10e4e0767240" targetNamespace="http://schemas.microsoft.com/office/2006/metadata/properties" ma:root="true" ma:fieldsID="6914716d72900a96a8622dc25cdd134a" ns2:_="" ns3:_="">
    <xsd:import namespace="1ce9011b-86f1-4b85-8468-bde8c49fc6b6"/>
    <xsd:import namespace="db86872e-852c-4ba3-99d1-10e4e07672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9011b-86f1-4b85-8468-bde8c49fc6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7eb6393-bae5-439c-9df7-ed1047f92241"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86872e-852c-4ba3-99d1-10e4e076724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70b6b83-76f1-4f83-84ac-1b0750170f81}" ma:internalName="TaxCatchAll" ma:showField="CatchAllData" ma:web="db86872e-852c-4ba3-99d1-10e4e07672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44DB70-572B-4856-A058-3CA42EEDE0B3}">
  <ds:schemaRefs>
    <ds:schemaRef ds:uri="http://schemas.microsoft.com/office/2006/metadata/properties"/>
    <ds:schemaRef ds:uri="http://schemas.microsoft.com/office/infopath/2007/PartnerControls"/>
    <ds:schemaRef ds:uri="1ce9011b-86f1-4b85-8468-bde8c49fc6b6"/>
    <ds:schemaRef ds:uri="db86872e-852c-4ba3-99d1-10e4e0767240"/>
  </ds:schemaRefs>
</ds:datastoreItem>
</file>

<file path=customXml/itemProps2.xml><?xml version="1.0" encoding="utf-8"?>
<ds:datastoreItem xmlns:ds="http://schemas.openxmlformats.org/officeDocument/2006/customXml" ds:itemID="{25F832B8-16D6-475F-8DF7-4297D2D7F70E}">
  <ds:schemaRefs>
    <ds:schemaRef ds:uri="http://schemas.microsoft.com/sharepoint/v3/contenttype/forms"/>
  </ds:schemaRefs>
</ds:datastoreItem>
</file>

<file path=customXml/itemProps3.xml><?xml version="1.0" encoding="utf-8"?>
<ds:datastoreItem xmlns:ds="http://schemas.openxmlformats.org/officeDocument/2006/customXml" ds:itemID="{2980B404-9478-4DDF-864A-B6AB48825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9011b-86f1-4b85-8468-bde8c49fc6b6"/>
    <ds:schemaRef ds:uri="db86872e-852c-4ba3-99d1-10e4e07672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1. Checklist</vt:lpstr>
      <vt:lpstr>2. CFR Return</vt:lpstr>
      <vt:lpstr>Sheet1</vt:lpstr>
      <vt:lpstr>S Budget</vt:lpstr>
      <vt:lpstr>Payments</vt:lpstr>
      <vt:lpstr>Lookup</vt:lpstr>
      <vt:lpstr>YTD</vt:lpstr>
      <vt:lpstr>% Budget Variance</vt:lpstr>
      <vt:lpstr>Forecast</vt:lpstr>
      <vt:lpstr>Outturn</vt:lpstr>
      <vt:lpstr>Outturn 2024-25</vt:lpstr>
      <vt:lpstr>Summary</vt:lpstr>
      <vt:lpstr>Variance</vt:lpstr>
      <vt:lpstr>Cash Advances</vt:lpstr>
      <vt:lpstr>3. Establishment</vt:lpstr>
      <vt:lpstr>4. Schools System Report</vt:lpstr>
      <vt:lpstr>Example 1</vt:lpstr>
      <vt:lpstr>Example 2</vt:lpstr>
      <vt:lpstr>Bank clearing</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Q1 Template 2025-26 HK</dc:title>
  <dc:creator>Harmanjot Kahlon</dc:creator>
  <cp:lastModifiedBy>Blessed Ephraim</cp:lastModifiedBy>
  <cp:lastPrinted>2021-06-28T17:42:18Z</cp:lastPrinted>
  <dcterms:created xsi:type="dcterms:W3CDTF">2021-06-01T13:39:42Z</dcterms:created>
  <dcterms:modified xsi:type="dcterms:W3CDTF">2025-12-10T18:51:34Z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7471b1-27ab-4640-9264-e69a67407ca3_Enabled">
    <vt:lpwstr>true</vt:lpwstr>
  </property>
  <property fmtid="{D5CDD505-2E9C-101B-9397-08002B2CF9AE}" pid="3" name="MSIP_Label_a17471b1-27ab-4640-9264-e69a67407ca3_SetDate">
    <vt:lpwstr>2024-09-04T08:36:51Z</vt:lpwstr>
  </property>
  <property fmtid="{D5CDD505-2E9C-101B-9397-08002B2CF9AE}" pid="4" name="MSIP_Label_a17471b1-27ab-4640-9264-e69a67407ca3_Method">
    <vt:lpwstr>Standard</vt:lpwstr>
  </property>
  <property fmtid="{D5CDD505-2E9C-101B-9397-08002B2CF9AE}" pid="5" name="MSIP_Label_a17471b1-27ab-4640-9264-e69a67407ca3_Name">
    <vt:lpwstr>BCC - OFFICIAL</vt:lpwstr>
  </property>
  <property fmtid="{D5CDD505-2E9C-101B-9397-08002B2CF9AE}" pid="6" name="MSIP_Label_a17471b1-27ab-4640-9264-e69a67407ca3_SiteId">
    <vt:lpwstr>699ace67-d2e4-4bcd-b303-d2bbe2b9bbf1</vt:lpwstr>
  </property>
  <property fmtid="{D5CDD505-2E9C-101B-9397-08002B2CF9AE}" pid="7" name="MSIP_Label_a17471b1-27ab-4640-9264-e69a67407ca3_ActionId">
    <vt:lpwstr>cd8b0061-e00e-4317-b9c2-70d134a75996</vt:lpwstr>
  </property>
  <property fmtid="{D5CDD505-2E9C-101B-9397-08002B2CF9AE}" pid="8" name="MSIP_Label_a17471b1-27ab-4640-9264-e69a67407ca3_ContentBits">
    <vt:lpwstr>2</vt:lpwstr>
  </property>
  <property fmtid="{D5CDD505-2E9C-101B-9397-08002B2CF9AE}" pid="9" name="ContentTypeId">
    <vt:lpwstr>0x010100718E088D61435D429F53A8D9D38B3C75</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MediaServiceImageTags">
    <vt:lpwstr/>
  </property>
  <property fmtid="{D5CDD505-2E9C-101B-9397-08002B2CF9AE}" pid="13" name="CloudStatistics_StoryID">
    <vt:lpwstr>a3c2d884-7ac9-448f-bebb-209383e30711</vt:lpwstr>
  </property>
</Properties>
</file>