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CCAGGCT\Downloads\"/>
    </mc:Choice>
  </mc:AlternateContent>
  <xr:revisionPtr revIDLastSave="0" documentId="8_{FBC564D9-F522-49F7-A1DB-1765D6FD2E13}" xr6:coauthVersionLast="47" xr6:coauthVersionMax="47" xr10:uidLastSave="{00000000-0000-0000-0000-000000000000}"/>
  <workbookProtection workbookAlgorithmName="SHA-512" workbookHashValue="D6Ddbxn2lRfyKejWIpXAoI5qkMbSL6H2cyS5IbCE6Y/8mVtZMvCWRz0Hky60SGKXVLTwAZrPPbvCebjMqZ9l4g==" workbookSaltValue="jLgsy9bifIkd7/DlcEoE7w==" workbookSpinCount="100000" lockStructure="1"/>
  <bookViews>
    <workbookView xWindow="47895" yWindow="0" windowWidth="19410" windowHeight="20985" xr2:uid="{00000000-000D-0000-FFFF-FFFF00000000}"/>
  </bookViews>
  <sheets>
    <sheet name="Annual Leave Calculator" sheetId="1" r:id="rId1"/>
    <sheet name="Change History" sheetId="4" state="hidden" r:id="rId2"/>
    <sheet name="Variables" sheetId="2" state="hidden" r:id="rId3"/>
    <sheet name="Additional 7.3 pro rata" sheetId="3" state="hidden" r:id="rId4"/>
  </sheets>
  <definedNames>
    <definedName name="AdditionalAnnualLeave">Variables!$E$3:$G$15</definedName>
    <definedName name="BankHolidays">Variables!$A$2:$A$125</definedName>
    <definedName name="JNCYearsservicelookup">Variables!$J$11:$Q$14</definedName>
    <definedName name="Leapyears">Variables!$C$2:$C$26</definedName>
    <definedName name="NJCYearsservicelookup">Variables!$J$3:$Q$6</definedName>
    <definedName name="_xlnm.Print_Area" localSheetId="0">'Annual Leave Calculator'!$A$1:$H$21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2" l="1"/>
  <c r="L6" i="2" s="1"/>
  <c r="P6" i="2" s="1"/>
  <c r="M6" i="2"/>
  <c r="O6" i="2" s="1"/>
  <c r="N14" i="2"/>
  <c r="N13" i="2"/>
  <c r="N12" i="2"/>
  <c r="N11" i="2"/>
  <c r="L11" i="2" s="1"/>
  <c r="P11" i="2" s="1"/>
  <c r="M14" i="2"/>
  <c r="O14" i="2" s="1"/>
  <c r="M13" i="2"/>
  <c r="O13" i="2" s="1"/>
  <c r="M12" i="2"/>
  <c r="O12" i="2" s="1"/>
  <c r="M11" i="2"/>
  <c r="O11" i="2" s="1"/>
  <c r="E7" i="1"/>
  <c r="C11" i="1"/>
  <c r="B11" i="1"/>
  <c r="M3" i="2"/>
  <c r="L13" i="2" l="1"/>
  <c r="P13" i="2" s="1"/>
  <c r="Q13" i="2" s="1"/>
  <c r="L12" i="2"/>
  <c r="P12" i="2" s="1"/>
  <c r="Q12" i="2" s="1"/>
  <c r="L14" i="2"/>
  <c r="P14" i="2" s="1"/>
  <c r="Q14" i="2" s="1"/>
  <c r="Q6" i="2"/>
  <c r="Q11" i="2"/>
  <c r="I12" i="1"/>
  <c r="I13" i="1"/>
  <c r="I14" i="1"/>
  <c r="F14" i="1" s="1"/>
  <c r="G15" i="2"/>
  <c r="N3" i="2"/>
  <c r="E19" i="2"/>
  <c r="G3" i="2"/>
  <c r="D4" i="3"/>
  <c r="C4" i="1"/>
  <c r="L3" i="2" l="1"/>
  <c r="P3" i="2" s="1"/>
  <c r="F12" i="1"/>
  <c r="B13" i="1"/>
  <c r="D13" i="1" s="1" a="1"/>
  <c r="D13" i="1" s="1"/>
  <c r="F13" i="1"/>
  <c r="B14" i="1"/>
  <c r="G14" i="1" s="1"/>
  <c r="H14" i="1" s="1"/>
  <c r="N5" i="2"/>
  <c r="N4" i="2"/>
  <c r="M5" i="2"/>
  <c r="O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8" i="2"/>
  <c r="G8" i="2" s="1"/>
  <c r="F7" i="2"/>
  <c r="G7" i="2" s="1"/>
  <c r="F6" i="2"/>
  <c r="G6" i="2" s="1"/>
  <c r="F5" i="2"/>
  <c r="G5" i="2" s="1"/>
  <c r="F4" i="2"/>
  <c r="G4" i="2" s="1"/>
  <c r="G6" i="3"/>
  <c r="D13" i="3"/>
  <c r="D12" i="3"/>
  <c r="D11" i="3"/>
  <c r="D10" i="3"/>
  <c r="D9" i="3"/>
  <c r="D8" i="3"/>
  <c r="D7" i="3"/>
  <c r="D6" i="3"/>
  <c r="D5" i="3"/>
  <c r="D3" i="3"/>
  <c r="L5" i="2" l="1"/>
  <c r="P5" i="2" s="1"/>
  <c r="Q5" i="2" s="1"/>
  <c r="L4" i="2"/>
  <c r="P4" i="2" s="1"/>
  <c r="G13" i="1"/>
  <c r="H13" i="1" s="1"/>
  <c r="D14" i="1" a="1"/>
  <c r="D14" i="1" s="1"/>
  <c r="O3" i="2"/>
  <c r="M4" i="2"/>
  <c r="O4" i="2" s="1"/>
  <c r="Q4" i="2" l="1"/>
  <c r="I11" i="1"/>
  <c r="F11" i="1" s="1"/>
  <c r="O12" i="1"/>
  <c r="O13" i="1"/>
  <c r="O14" i="1"/>
  <c r="Q3" i="2"/>
  <c r="B7" i="1" s="1"/>
  <c r="O11" i="1"/>
  <c r="B12" i="1" l="1"/>
  <c r="D12" i="1" s="1" a="1"/>
  <c r="D12" i="1" s="1"/>
  <c r="D11" i="1" a="1"/>
  <c r="D11" i="1" s="1"/>
  <c r="G11" i="1" a="1"/>
  <c r="G11" i="1" s="1"/>
  <c r="G12" i="1" l="1" a="1"/>
  <c r="G12" i="1" s="1"/>
  <c r="H12" i="1" s="1"/>
  <c r="C16" i="1" a="1"/>
  <c r="C16" i="1" s="1"/>
  <c r="D15" i="1"/>
  <c r="F15" i="1"/>
  <c r="H18" i="1" s="1"/>
  <c r="G15" i="1" l="1"/>
  <c r="D16" i="1"/>
  <c r="H11" i="1"/>
  <c r="H15" i="1" s="1"/>
  <c r="H1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Service Birmingham</author>
    <author>Dave Roberts</author>
  </authors>
  <commentList>
    <comment ref="B11" authorId="0" shapeId="0" xr:uid="{00000000-0006-0000-0000-000002000000}">
      <text>
        <r>
          <rPr>
            <sz val="9"/>
            <color indexed="81"/>
            <rFont val="Tahoma"/>
            <family val="2"/>
          </rPr>
          <t>This is the date your annual leave begins. To change this you need to change "Enter Date Annual Leave Begins:" in cell B4</t>
        </r>
      </text>
    </comment>
    <comment ref="A12" authorId="1" shapeId="0" xr:uid="{00000000-0006-0000-0000-000003000000}">
      <text>
        <r>
          <rPr>
            <sz val="9"/>
            <color indexed="81"/>
            <rFont val="Tahoma"/>
            <family val="2"/>
          </rPr>
          <t>Use this row if other periods of change during annual leave.</t>
        </r>
      </text>
    </comment>
    <comment ref="A13" authorId="1" shapeId="0" xr:uid="{00000000-0006-0000-0000-000004000000}">
      <text>
        <r>
          <rPr>
            <sz val="9"/>
            <color indexed="81"/>
            <rFont val="Tahoma"/>
            <family val="2"/>
          </rPr>
          <t>Use this row if other periods of change during annual leave.</t>
        </r>
      </text>
    </comment>
    <comment ref="A14" authorId="1" shapeId="0" xr:uid="{00000000-0006-0000-0000-000005000000}">
      <text>
        <r>
          <rPr>
            <sz val="9"/>
            <color indexed="81"/>
            <rFont val="Tahoma"/>
            <family val="2"/>
          </rPr>
          <t>Use this row if other periods of change during annual leave.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<sst xmlns="http://schemas.openxmlformats.org/spreadsheetml/2006/main" count="73" uniqueCount="62">
  <si>
    <r>
      <t xml:space="preserve">Enter </t>
    </r>
    <r>
      <rPr>
        <b/>
        <sz val="14"/>
        <rFont val="Calibri"/>
        <family val="2"/>
      </rPr>
      <t>Date annual leave year begins :</t>
    </r>
    <r>
      <rPr>
        <sz val="14"/>
        <rFont val="Calibri"/>
        <family val="2"/>
      </rPr>
      <t xml:space="preserve">
</t>
    </r>
    <r>
      <rPr>
        <i/>
        <sz val="14"/>
        <rFont val="Calibri"/>
        <family val="2"/>
      </rPr>
      <t>(format dd/mm/yyyy)</t>
    </r>
  </si>
  <si>
    <r>
      <rPr>
        <sz val="14"/>
        <rFont val="Calibri"/>
        <family val="2"/>
        <scheme val="minor"/>
      </rPr>
      <t>Enter</t>
    </r>
    <r>
      <rPr>
        <b/>
        <sz val="14"/>
        <rFont val="Calibri"/>
        <family val="2"/>
        <scheme val="minor"/>
      </rPr>
      <t xml:space="preserve"> </t>
    </r>
    <r>
      <rPr>
        <b/>
        <sz val="14"/>
        <rFont val="Calibri"/>
        <family val="2"/>
      </rPr>
      <t xml:space="preserve">Number of years service :
</t>
    </r>
    <r>
      <rPr>
        <i/>
        <sz val="14"/>
        <rFont val="Calibri"/>
        <family val="2"/>
      </rPr>
      <t>(select from drop down menu)</t>
    </r>
  </si>
  <si>
    <t>Up to 5 years</t>
  </si>
  <si>
    <r>
      <t xml:space="preserve">Annual leave entitlement of:
</t>
    </r>
    <r>
      <rPr>
        <i/>
        <sz val="14"/>
        <rFont val="Calibri"/>
        <family val="2"/>
      </rPr>
      <t>(excluding bank holidays</t>
    </r>
    <r>
      <rPr>
        <sz val="14"/>
        <rFont val="Calibri"/>
        <family val="2"/>
      </rPr>
      <t>)</t>
    </r>
  </si>
  <si>
    <t>Based on a Full Time Equivalent</t>
  </si>
  <si>
    <t>Start Date
dd/mm/yyyy</t>
  </si>
  <si>
    <t>End Date
dd/mm/yyyy</t>
  </si>
  <si>
    <t>Number of calendar days in period</t>
  </si>
  <si>
    <t>Contracted hours per week
(Hours)</t>
  </si>
  <si>
    <t>Calculated Annual leave (Hours)</t>
  </si>
  <si>
    <t>Calculated bank holidays 
(Hours)</t>
  </si>
  <si>
    <t>Total leave in period inc bank holidays
(Hours)</t>
  </si>
  <si>
    <t>Period calculation 2 (optional)</t>
  </si>
  <si>
    <t>Period calculation 3 (optional)</t>
  </si>
  <si>
    <t>Period calculation 4 (optional)</t>
  </si>
  <si>
    <r>
      <t xml:space="preserve">Remaining </t>
    </r>
    <r>
      <rPr>
        <b/>
        <sz val="14"/>
        <rFont val="Calibri"/>
        <family val="2"/>
        <scheme val="minor"/>
      </rPr>
      <t>bank holidays</t>
    </r>
    <r>
      <rPr>
        <sz val="14"/>
        <rFont val="Calibri"/>
        <family val="2"/>
        <scheme val="minor"/>
      </rPr>
      <t xml:space="preserve"> outstanding</t>
    </r>
  </si>
  <si>
    <t>version</t>
  </si>
  <si>
    <t>Original</t>
  </si>
  <si>
    <t>Add additional annual leave 1 day leave from May 22 (partial day) to April 23 (full day)</t>
  </si>
  <si>
    <t>0.7updated</t>
  </si>
  <si>
    <t>Changed value of up to 5 years which had incorrect value - pre 1 day raise should be 29/211.7</t>
  </si>
  <si>
    <t>Number of Bank holidays on list extended to 31/12/27.</t>
  </si>
  <si>
    <t>Bank Holiday dates</t>
  </si>
  <si>
    <t>Leap year dates</t>
  </si>
  <si>
    <t>AdditionalAnnualLeave</t>
  </si>
  <si>
    <t>days</t>
  </si>
  <si>
    <t>hrs</t>
  </si>
  <si>
    <t>Partial days</t>
  </si>
  <si>
    <t>Partial hrs</t>
  </si>
  <si>
    <t>Total days</t>
  </si>
  <si>
    <t>Total hrs</t>
  </si>
  <si>
    <t>Descrip</t>
  </si>
  <si>
    <t>Over 5 years</t>
  </si>
  <si>
    <t>Over 10 years</t>
  </si>
  <si>
    <t xml:space="preserve">Is this rounded to 2. </t>
  </si>
  <si>
    <t>Start date of leave year</t>
  </si>
  <si>
    <t>End date of leave year</t>
  </si>
  <si>
    <t>Months pro rata due of new entitlement</t>
  </si>
  <si>
    <t>Additional leave entitlement in hours for 36.5 hours</t>
  </si>
  <si>
    <t>If part time:</t>
  </si>
  <si>
    <t>Enter Contractual working hours</t>
  </si>
  <si>
    <t>Enter FTE entitlement from column D</t>
  </si>
  <si>
    <t>Pro rata additional entitlement</t>
  </si>
  <si>
    <t>Over 20 years</t>
  </si>
  <si>
    <r>
      <rPr>
        <sz val="14"/>
        <rFont val="Calibri"/>
        <family val="2"/>
        <scheme val="minor"/>
      </rPr>
      <t>Enter</t>
    </r>
    <r>
      <rPr>
        <b/>
        <sz val="14"/>
        <rFont val="Calibri"/>
        <family val="2"/>
        <scheme val="minor"/>
      </rPr>
      <t xml:space="preserve"> </t>
    </r>
    <r>
      <rPr>
        <b/>
        <sz val="14"/>
        <rFont val="Calibri"/>
        <family val="2"/>
      </rPr>
      <t xml:space="preserve">your Terms &amp; Conditions type :
</t>
    </r>
    <r>
      <rPr>
        <i/>
        <sz val="14"/>
        <rFont val="Calibri"/>
        <family val="2"/>
      </rPr>
      <t>(select from drop down menu)</t>
    </r>
  </si>
  <si>
    <t>NJCYears servicelookup</t>
  </si>
  <si>
    <t>JNCYears servicelookup</t>
  </si>
  <si>
    <t>NJCUp to 5 years</t>
  </si>
  <si>
    <t>NJCOver 5 years</t>
  </si>
  <si>
    <t>NJCOver 10 years</t>
  </si>
  <si>
    <t>JNCUp to 5 years</t>
  </si>
  <si>
    <t>JNCOver 5 years</t>
  </si>
  <si>
    <t>JNCOver 10 years</t>
  </si>
  <si>
    <t>JNCOver 20 years</t>
  </si>
  <si>
    <t>NJCOver 20 years</t>
  </si>
  <si>
    <t>Pro-rated leave to 31 March 2026</t>
  </si>
  <si>
    <r>
      <t xml:space="preserve">Remaining </t>
    </r>
    <r>
      <rPr>
        <b/>
        <sz val="14"/>
        <rFont val="Calibri"/>
        <family val="2"/>
        <scheme val="minor"/>
      </rPr>
      <t>annual leave</t>
    </r>
    <r>
      <rPr>
        <sz val="14"/>
        <rFont val="Calibri"/>
        <family val="2"/>
        <scheme val="minor"/>
      </rPr>
      <t xml:space="preserve"> outstanding (not including carry forward)</t>
    </r>
  </si>
  <si>
    <t>Total hours entitlement over period</t>
  </si>
  <si>
    <t>Change of Annual Leave Year Calculator</t>
  </si>
  <si>
    <r>
      <rPr>
        <b/>
        <sz val="15"/>
        <rFont val="Calibri"/>
        <family val="2"/>
        <scheme val="minor"/>
      </rPr>
      <t>How to use the Change of Annual Leave Calculator:</t>
    </r>
    <r>
      <rPr>
        <sz val="15"/>
        <rFont val="Calibri"/>
        <family val="2"/>
        <scheme val="minor"/>
      </rPr>
      <t xml:space="preserve">
1. Use Oracle to find out how much leave you have used.  
2. Complete all the yellow cells. The end date will automatically populate to 31/03/2026.
3. If a cell turns red, an error in data entry has occured
Note: This calculator does not include any carry forward leave. This must be added separately. 
Note: When scheduling leave in Oracle, you will be presented with a combined figure for annual leave and bank holidays. You cannot use Bank Holidays as a form of annual leave. </t>
    </r>
  </si>
  <si>
    <t>Number of hours annual leave taken
and scheduled to 31 March 2026 (from Oracle)
(Exclude carry over leave)</t>
  </si>
  <si>
    <t>Number of bank holiday hours taken (from Oracle)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</si>
</sst>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8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</font>
    <font>
      <i/>
      <sz val="14"/>
      <name val="Calibri"/>
      <family val="2"/>
    </font>
    <font>
      <sz val="14"/>
      <name val="Calibri"/>
      <family val="2"/>
    </font>
    <font>
      <b/>
      <sz val="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5"/>
      <name val="Calibri"/>
      <family val="2"/>
      <scheme val="minor"/>
    </font>
    <font>
      <sz val="15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3F32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CE6F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14" fontId="0" fillId="0" borderId="0" xfId="0" applyNumberFormat="1"/>
    <xf numFmtId="0" fontId="0" fillId="3" borderId="0" xfId="0" applyFill="1"/>
    <xf numFmtId="14" fontId="0" fillId="3" borderId="0" xfId="0" applyNumberFormat="1" applyFill="1"/>
    <xf numFmtId="14" fontId="2" fillId="5" borderId="2" xfId="0" applyNumberFormat="1" applyFont="1" applyFill="1" applyBorder="1" applyAlignment="1" applyProtection="1">
      <alignment horizontal="center" vertical="center"/>
      <protection locked="0"/>
    </xf>
    <xf numFmtId="2" fontId="2" fillId="5" borderId="3" xfId="0" applyNumberFormat="1" applyFont="1" applyFill="1" applyBorder="1" applyAlignment="1" applyProtection="1">
      <alignment horizontal="center" vertical="center"/>
      <protection locked="0"/>
    </xf>
    <xf numFmtId="2" fontId="2" fillId="2" borderId="4" xfId="0" applyNumberFormat="1" applyFont="1" applyFill="1" applyBorder="1" applyAlignment="1" applyProtection="1">
      <alignment horizontal="center" vertical="center"/>
      <protection locked="0"/>
    </xf>
    <xf numFmtId="2" fontId="2" fillId="2" borderId="2" xfId="0" applyNumberFormat="1" applyFont="1" applyFill="1" applyBorder="1" applyAlignment="1" applyProtection="1">
      <alignment horizontal="center" vertical="center"/>
      <protection locked="0"/>
    </xf>
    <xf numFmtId="0" fontId="10" fillId="5" borderId="0" xfId="0" applyFont="1" applyFill="1" applyAlignment="1">
      <alignment horizontal="center" wrapText="1"/>
    </xf>
    <xf numFmtId="1" fontId="10" fillId="5" borderId="0" xfId="0" applyNumberFormat="1" applyFont="1" applyFill="1" applyAlignment="1">
      <alignment horizontal="center" wrapText="1"/>
    </xf>
    <xf numFmtId="2" fontId="10" fillId="5" borderId="0" xfId="0" applyNumberFormat="1" applyFont="1" applyFill="1" applyAlignment="1">
      <alignment horizontal="center" wrapText="1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wrapText="1"/>
    </xf>
    <xf numFmtId="17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0" fillId="6" borderId="0" xfId="0" applyFill="1"/>
    <xf numFmtId="0" fontId="10" fillId="0" borderId="0" xfId="0" applyFont="1"/>
    <xf numFmtId="0" fontId="11" fillId="0" borderId="0" xfId="0" applyFont="1"/>
    <xf numFmtId="14" fontId="0" fillId="5" borderId="0" xfId="0" applyNumberFormat="1" applyFill="1"/>
    <xf numFmtId="0" fontId="0" fillId="0" borderId="2" xfId="0" applyBorder="1"/>
    <xf numFmtId="2" fontId="0" fillId="3" borderId="2" xfId="0" applyNumberFormat="1" applyFill="1" applyBorder="1"/>
    <xf numFmtId="2" fontId="0" fillId="7" borderId="2" xfId="0" applyNumberFormat="1" applyFill="1" applyBorder="1"/>
    <xf numFmtId="2" fontId="0" fillId="8" borderId="2" xfId="0" applyNumberFormat="1" applyFill="1" applyBorder="1"/>
    <xf numFmtId="0" fontId="12" fillId="0" borderId="2" xfId="0" applyFont="1" applyBorder="1"/>
    <xf numFmtId="0" fontId="14" fillId="0" borderId="0" xfId="0" applyFont="1" applyAlignment="1">
      <alignment vertical="center" wrapText="1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14" fontId="2" fillId="3" borderId="3" xfId="0" applyNumberFormat="1" applyFont="1" applyFill="1" applyBorder="1" applyAlignment="1">
      <alignment horizontal="left" vertical="center"/>
    </xf>
    <xf numFmtId="14" fontId="2" fillId="3" borderId="3" xfId="0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2" fontId="2" fillId="3" borderId="3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1" fontId="13" fillId="0" borderId="0" xfId="0" applyNumberFormat="1" applyFont="1" applyAlignment="1">
      <alignment horizontal="center" vertical="center"/>
    </xf>
    <xf numFmtId="14" fontId="2" fillId="3" borderId="7" xfId="0" applyNumberFormat="1" applyFont="1" applyFill="1" applyBorder="1" applyAlignment="1">
      <alignment horizontal="left" vertical="center"/>
    </xf>
    <xf numFmtId="14" fontId="2" fillId="3" borderId="7" xfId="0" applyNumberFormat="1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2" fontId="2" fillId="3" borderId="5" xfId="0" applyNumberFormat="1" applyFont="1" applyFill="1" applyBorder="1" applyAlignment="1">
      <alignment horizontal="center" vertical="center"/>
    </xf>
    <xf numFmtId="2" fontId="9" fillId="3" borderId="6" xfId="0" applyNumberFormat="1" applyFont="1" applyFill="1" applyBorder="1" applyAlignment="1">
      <alignment horizontal="center" vertical="center"/>
    </xf>
    <xf numFmtId="0" fontId="13" fillId="0" borderId="0" xfId="0" quotePrefix="1" applyFont="1" applyAlignment="1">
      <alignment horizontal="center" vertical="center"/>
    </xf>
    <xf numFmtId="2" fontId="2" fillId="3" borderId="2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5" borderId="2" xfId="0" applyNumberFormat="1" applyFont="1" applyFill="1" applyBorder="1" applyAlignment="1" applyProtection="1">
      <alignment horizontal="center"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164" fontId="2" fillId="9" borderId="2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14" fontId="3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4" fillId="4" borderId="0" xfId="0" applyFont="1" applyFill="1" applyAlignment="1">
      <alignment vertical="center"/>
    </xf>
    <xf numFmtId="0" fontId="13" fillId="0" borderId="0" xfId="0" quotePrefix="1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14" fontId="2" fillId="3" borderId="3" xfId="0" applyNumberFormat="1" applyFont="1" applyFill="1" applyBorder="1" applyAlignment="1">
      <alignment horizontal="right" vertical="center"/>
    </xf>
    <xf numFmtId="14" fontId="3" fillId="3" borderId="8" xfId="0" applyNumberFormat="1" applyFont="1" applyFill="1" applyBorder="1" applyAlignment="1">
      <alignment horizontal="right" vertical="center"/>
    </xf>
    <xf numFmtId="0" fontId="17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4" fillId="0" borderId="9" xfId="0" applyFont="1" applyBorder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4" fillId="0" borderId="9" xfId="0" applyFont="1" applyBorder="1" applyAlignment="1">
      <alignment horizontal="right" vertical="center"/>
    </xf>
  </cellXfs>
  <cellStyles count="1">
    <cellStyle name="Normal" xfId="0" builtinId="0"/>
  </cellStyles>
  <dxfs count="8">
    <dxf>
      <font>
        <color theme="4" tint="0.79998168889431442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4" tint="0.79998168889431442"/>
      </font>
    </dxf>
    <dxf>
      <fill>
        <patternFill>
          <bgColor rgb="FFFF0000"/>
        </patternFill>
      </fill>
    </dxf>
    <dxf>
      <font>
        <color theme="4" tint="0.79998168889431442"/>
      </font>
    </dxf>
    <dxf>
      <font>
        <color rgb="FFDCE6F1"/>
      </font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1"/>
  <sheetViews>
    <sheetView showGridLines="0" tabSelected="1" zoomScale="80" zoomScaleNormal="80" workbookViewId="0"/>
  </sheetViews>
  <sheetFormatPr defaultColWidth="0" defaultRowHeight="15" customHeight="1" zeroHeight="1" x14ac:dyDescent="0.35"/>
  <cols>
    <col min="1" max="1" width="50.7265625" style="53" customWidth="1"/>
    <col min="2" max="2" width="23.81640625" style="53" customWidth="1"/>
    <col min="3" max="3" width="21" style="53" customWidth="1"/>
    <col min="4" max="4" width="18.7265625" style="53" bestFit="1" customWidth="1"/>
    <col min="5" max="6" width="18.7265625" style="53" customWidth="1"/>
    <col min="7" max="7" width="19.453125" style="53" customWidth="1"/>
    <col min="8" max="8" width="18.7265625" style="53" customWidth="1"/>
    <col min="9" max="9" width="32.1796875" style="53" hidden="1" customWidth="1"/>
    <col min="10" max="10" width="0" style="53" hidden="1" customWidth="1"/>
    <col min="11" max="11" width="8.7265625" style="53" customWidth="1"/>
    <col min="12" max="12" width="12" style="53" customWidth="1"/>
    <col min="13" max="13" width="10.7265625" style="53" customWidth="1"/>
    <col min="14" max="14" width="8.7265625" style="53" customWidth="1"/>
    <col min="15" max="15" width="0.453125" style="53" customWidth="1"/>
    <col min="16" max="16" width="33.453125" style="53" customWidth="1"/>
    <col min="17" max="17" width="8.7265625" style="53" customWidth="1"/>
    <col min="18" max="19" width="0" style="53" hidden="1" customWidth="1"/>
    <col min="20" max="16384" width="8.7265625" style="53" hidden="1"/>
  </cols>
  <sheetData>
    <row r="1" spans="1:19" ht="21" x14ac:dyDescent="0.35">
      <c r="A1" s="54"/>
    </row>
    <row r="2" spans="1:19" ht="35.25" customHeight="1" x14ac:dyDescent="0.35">
      <c r="A2" s="52" t="s">
        <v>58</v>
      </c>
    </row>
    <row r="3" spans="1:19" ht="18.75" customHeight="1" x14ac:dyDescent="0.35">
      <c r="A3" s="55"/>
      <c r="B3" s="55"/>
      <c r="C3" s="55"/>
      <c r="D3" s="55"/>
      <c r="E3" s="28"/>
      <c r="F3" s="28"/>
      <c r="G3" s="28"/>
      <c r="H3" s="28"/>
      <c r="L3" s="69" t="s">
        <v>59</v>
      </c>
      <c r="M3" s="69"/>
      <c r="N3" s="69"/>
      <c r="O3" s="69"/>
      <c r="P3" s="69"/>
    </row>
    <row r="4" spans="1:19" ht="56.25" customHeight="1" x14ac:dyDescent="0.35">
      <c r="A4" s="56" t="s">
        <v>0</v>
      </c>
      <c r="B4" s="48"/>
      <c r="C4" s="51" t="str">
        <f>IF($B$4="","",IF(DAY(B4)&lt;&gt;1,"ERROR - Your 'Date Annual Leave Year Begins' should be the 1st day of the particular Month. Please Re-enter before continuing",""))</f>
        <v/>
      </c>
      <c r="D4" s="25"/>
      <c r="E4" s="25"/>
      <c r="F4" s="57"/>
      <c r="G4" s="28"/>
      <c r="H4" s="28"/>
      <c r="L4" s="69"/>
      <c r="M4" s="69"/>
      <c r="N4" s="69"/>
      <c r="O4" s="69"/>
      <c r="P4" s="69"/>
    </row>
    <row r="5" spans="1:19" ht="54.75" customHeight="1" x14ac:dyDescent="0.35">
      <c r="A5" s="58" t="s">
        <v>1</v>
      </c>
      <c r="B5" s="4"/>
      <c r="L5" s="69"/>
      <c r="M5" s="69"/>
      <c r="N5" s="69"/>
      <c r="O5" s="69"/>
      <c r="P5" s="69"/>
    </row>
    <row r="6" spans="1:19" ht="54.75" customHeight="1" x14ac:dyDescent="0.35">
      <c r="A6" s="58" t="s">
        <v>44</v>
      </c>
      <c r="B6" s="4"/>
      <c r="L6" s="69"/>
      <c r="M6" s="69"/>
      <c r="N6" s="69"/>
      <c r="O6" s="69"/>
      <c r="P6" s="69"/>
    </row>
    <row r="7" spans="1:19" ht="54" customHeight="1" x14ac:dyDescent="0.35">
      <c r="A7" s="59" t="s">
        <v>3</v>
      </c>
      <c r="B7" s="60" t="e">
        <f>VLOOKUP(CONCATENATE($B$6,$B$5),Variables!I3:Q14,9,FALSE)</f>
        <v>#N/A</v>
      </c>
      <c r="C7" s="61" t="s">
        <v>4</v>
      </c>
      <c r="D7" s="26"/>
      <c r="E7" s="27" t="str">
        <f>IF(AND($B$4&gt;=DATEVALUE("01-May-2022"),$B$4&lt;=DATEVALUE("31-Mar-2023")),"Note: Part days due to 'Annual Leave Year Begins' dates between May 2022 - March 2023 and the introduce of the 1 day additional annual leave","")</f>
        <v/>
      </c>
      <c r="F7" s="27"/>
      <c r="G7" s="27"/>
      <c r="H7" s="27"/>
      <c r="L7" s="69"/>
      <c r="M7" s="69"/>
      <c r="N7" s="69"/>
      <c r="O7" s="69"/>
      <c r="P7" s="69"/>
    </row>
    <row r="8" spans="1:19" ht="20.149999999999999" customHeight="1" x14ac:dyDescent="0.35">
      <c r="L8" s="69"/>
      <c r="M8" s="69"/>
      <c r="N8" s="69"/>
      <c r="O8" s="69"/>
      <c r="P8" s="69"/>
    </row>
    <row r="9" spans="1:19" ht="16.5" customHeight="1" x14ac:dyDescent="0.35">
      <c r="A9" s="28"/>
      <c r="B9" s="28"/>
      <c r="L9" s="69"/>
      <c r="M9" s="69"/>
      <c r="N9" s="69"/>
      <c r="O9" s="69"/>
      <c r="P9" s="69"/>
    </row>
    <row r="10" spans="1:19" ht="74" x14ac:dyDescent="0.35">
      <c r="B10" s="29" t="s">
        <v>5</v>
      </c>
      <c r="C10" s="29" t="s">
        <v>6</v>
      </c>
      <c r="D10" s="29" t="s">
        <v>7</v>
      </c>
      <c r="E10" s="29" t="s">
        <v>8</v>
      </c>
      <c r="F10" s="29" t="s">
        <v>9</v>
      </c>
      <c r="G10" s="29" t="s">
        <v>10</v>
      </c>
      <c r="H10" s="30" t="s">
        <v>11</v>
      </c>
      <c r="I10" s="62"/>
      <c r="J10" s="62"/>
      <c r="K10" s="62"/>
      <c r="L10" s="62"/>
      <c r="M10" s="62"/>
      <c r="N10" s="62"/>
      <c r="O10" s="62"/>
      <c r="P10" s="62"/>
    </row>
    <row r="11" spans="1:19" ht="30" customHeight="1" thickBot="1" x14ac:dyDescent="0.4">
      <c r="A11" s="67" t="s">
        <v>55</v>
      </c>
      <c r="B11" s="49">
        <f>B4</f>
        <v>0</v>
      </c>
      <c r="C11" s="50" t="str">
        <f>IF(B4="","",46112)</f>
        <v/>
      </c>
      <c r="D11" s="33" cm="1">
        <f t="array" ref="D11">IF(I11="Error","Error",IF(OR(B11="",C11=""),0,IF((C11-B11+1)&lt;=0,"Error",IF(SUMPRODUCT((Leapyears&gt;=B11)*(Leapyears&lt;=C11))=1,C11-B11,C11-B11+1))))</f>
        <v>0</v>
      </c>
      <c r="E11" s="5">
        <v>36.5</v>
      </c>
      <c r="F11" s="34" t="str">
        <f>IF(LEFT(I11,5)="Error","Error",IF(OR(C11=0,C11="",E11=0,E11=""),"",IF(ISERROR(((VLOOKUP(CONCATENATE($B$6,$B$5),Variables!I3:Q14,8,FALSE)*(E11/36.5))*D11/365)),"",((VLOOKUP(CONCATENATE($B$6,$B$5),Variables!I3:Q14,8,FALSE)*(E11/36.5))*D11/365))))</f>
        <v>Error</v>
      </c>
      <c r="G11" s="34" t="str" cm="1">
        <f t="array" ref="G11">IF(LEFT(I11,5)="Error","Error",SUMPRODUCT((BankHolidays&gt;=B11)*(BankHolidays&lt;=C11))*7.3*(E11/36.5))</f>
        <v>Error</v>
      </c>
      <c r="H11" s="34" t="str">
        <f>IF(LEFT(I11,5)="Error","Error",IF(ISERROR((F11+G11)),"",(F11+G11)))</f>
        <v>Error</v>
      </c>
      <c r="I11" s="35" t="str">
        <f>IF(AND(C11&lt;$B$11,OR(C11&lt;&gt;"",C11&lt;&gt;0)),"Error-End date cannot be earlier than Start Date",IF(C11&gt;EOMONTH($B$11,11),"Error-End Date cannot be 12 months greater than Start Date",""))</f>
        <v>Error-End Date cannot be 12 months greater than Start Date</v>
      </c>
      <c r="J11" s="36"/>
      <c r="K11" s="36"/>
      <c r="L11" s="28"/>
      <c r="M11" s="36"/>
      <c r="N11" s="36"/>
      <c r="O11" s="37">
        <f>IF(C11&gt;EOMONTH($B$11,11),1,0)</f>
        <v>1</v>
      </c>
      <c r="P11" s="62"/>
      <c r="R11" s="63"/>
      <c r="S11" s="63"/>
    </row>
    <row r="12" spans="1:19" ht="30" hidden="1" customHeight="1" x14ac:dyDescent="0.35">
      <c r="A12" s="31" t="s">
        <v>12</v>
      </c>
      <c r="B12" s="32" t="str">
        <f>IF(LEFT(I11,5)="Error","",(IF(OR(C11="",C11=0),"",IF(C11&lt;&gt;EOMONTH(B11,11),(C11+1),""))))</f>
        <v/>
      </c>
      <c r="C12" s="4"/>
      <c r="D12" s="33" cm="1">
        <f t="array" ref="D12">IF(I12="Error","Error",IF(OR(B12="",C12=""),0,IF((C12-B12+1)&lt;=0,"Error",IF(SUMPRODUCT((Leapyears&gt;=B12)*(Leapyears&lt;=C12))=1,C12-B12,C12-B12+1))))</f>
        <v>0</v>
      </c>
      <c r="E12" s="5"/>
      <c r="F12" s="34" t="str">
        <f>IF(LEFT(I12,5)="Error","Error",IF(OR(C12=0,C12="",E12=0,E12=""),"",IF(ISERROR(((VLOOKUP($B$5,NJCYearsservicelookup,7,FALSE)*(E12/36.5))*(D12/365))),"",((VLOOKUP($B$5,NJCYearsservicelookup,7,FALSE)*(E12/36.5))*(D12/365)))))</f>
        <v/>
      </c>
      <c r="G12" s="34" cm="1">
        <f t="array" ref="G12">IF(LEFT(I12,5)="Error","Error",SUMPRODUCT((BankHolidays&gt;=B12)*(BankHolidays&lt;=C12))*7.3*(E12/36.5))</f>
        <v>0</v>
      </c>
      <c r="H12" s="34" t="str">
        <f t="shared" ref="H12:H14" si="0">IF(LEFT(I12,5)="Error","Error",IF(ISERROR((F12+G12)),"",(F12+G12)))</f>
        <v/>
      </c>
      <c r="I12" s="35" t="str">
        <f>IF(OR(C12=0,C12=""),"",IF(C12&lt;B12,"Error-End date cannot be earlier than Start Date. If Start Date Period 2 is blank, this is because period 1 already covers the whole year period",IF(O12=1,"Error-End Date cannot be 12 months greater than Start Date","")))</f>
        <v/>
      </c>
      <c r="J12" s="36"/>
      <c r="K12" s="36"/>
      <c r="L12" s="36"/>
      <c r="M12" s="36"/>
      <c r="N12" s="36"/>
      <c r="O12" s="37">
        <f>IF(C12&gt;EOMONTH($B$11,11),1,0)</f>
        <v>0</v>
      </c>
      <c r="P12" s="62"/>
      <c r="R12" s="63"/>
      <c r="S12" s="63"/>
    </row>
    <row r="13" spans="1:19" ht="30" hidden="1" customHeight="1" x14ac:dyDescent="0.35">
      <c r="A13" s="31" t="s">
        <v>13</v>
      </c>
      <c r="B13" s="32" t="str">
        <f>IF(LEFT(I12,5)="Error","",(IF(OR(C12="",C12=0),"",IF(C12&lt;&gt;EOMONTH(B12,11),(C12+1),""))))</f>
        <v/>
      </c>
      <c r="C13" s="4"/>
      <c r="D13" s="33" cm="1">
        <f t="array" ref="D13">IF(I13="Error","Error",IF(OR(B13="",C13=""),0,IF((C13-B13+1)&lt;=0,"Error",IF(SUMPRODUCT((Leapyears&gt;=B13)*(Leapyears&lt;=C13))=1,C13-B13,C13-B13+1))))</f>
        <v>0</v>
      </c>
      <c r="E13" s="5"/>
      <c r="F13" s="34" t="str">
        <f>IF(LEFT(I13,5)="Error","Error",IF(OR(C13=0,C13="",E13=0,E13=""),"",IF(ISERROR(((VLOOKUP($B$5,NJCYearsservicelookup,7,FALSE)*(E13/36.5))*(D13/365))),"",((VLOOKUP($B$5,NJCYearsservicelookup,7,FALSE)*(E13/36.5))*(D13/365)))))</f>
        <v/>
      </c>
      <c r="G13" s="34">
        <f>IF(LEFT(I13,5)="Error","Error",SUMPRODUCT((BankHolidays&gt;=B13)*(BankHolidays&lt;=C13))*7.3*(E13/36.5))</f>
        <v>0</v>
      </c>
      <c r="H13" s="34" t="str">
        <f t="shared" si="0"/>
        <v/>
      </c>
      <c r="I13" s="35" t="str">
        <f>IF(OR(C13=0,C13=""),"",IF(C13&lt;B13,"Error-End date cannot be earlier than Start Date. If Start Date Period 2 is blank, this is because period 1 already covers the whole year period",IF(O13=1,"Error-End Date cannot be 12 months greater than Start Date","")))</f>
        <v/>
      </c>
      <c r="J13" s="36"/>
      <c r="K13" s="36"/>
      <c r="L13" s="36"/>
      <c r="M13" s="36"/>
      <c r="N13" s="36"/>
      <c r="O13" s="37">
        <f>IF(C13&gt;EOMONTH($B$11,11),1,0)</f>
        <v>0</v>
      </c>
      <c r="P13" s="62"/>
      <c r="R13" s="63"/>
      <c r="S13" s="63"/>
    </row>
    <row r="14" spans="1:19" ht="30" hidden="1" customHeight="1" thickBot="1" x14ac:dyDescent="0.4">
      <c r="A14" s="38" t="s">
        <v>14</v>
      </c>
      <c r="B14" s="39" t="str">
        <f>IF(LEFT(I13,5)="Error","",(IF(OR(C13="",C13=0),"",IF(C13&lt;&gt;EOMONTH(B13,11),(C13+1),""))))</f>
        <v/>
      </c>
      <c r="C14" s="4"/>
      <c r="D14" s="33" cm="1">
        <f t="array" ref="D14">IF(I14="Error","Error",IF(OR(B14="",C14=""),0,IF((C14-B14+1)&lt;=0,"Error",IF(SUMPRODUCT((Leapyears&gt;=B14)*(Leapyears&lt;=C14))=1,C14-B14,C14-B14+1))))</f>
        <v>0</v>
      </c>
      <c r="E14" s="5"/>
      <c r="F14" s="34" t="str">
        <f t="shared" ref="F14" si="1">IF(LEFT(I14,5)="Error","Error",IF(OR(C14=0,C14="",E14=0,E14=""),"",IF(ISERROR(((VALUE(LEFT($B$7,5))*(E14/36.5))*(D14/365))*7.3),"",((VALUE(LEFT($B$7,5))*(E14/36.5))*(D14/365))*7.3)))</f>
        <v/>
      </c>
      <c r="G14" s="34">
        <f>IF(LEFT(I14,5)="Error","Error",SUMPRODUCT((BankHolidays&gt;=B14)*(BankHolidays&lt;=C14))*7.3*(E14/36.5))</f>
        <v>0</v>
      </c>
      <c r="H14" s="40" t="str">
        <f t="shared" si="0"/>
        <v/>
      </c>
      <c r="I14" s="35" t="str">
        <f>IF(OR(C14=0,C14=""),"",IF(C14&lt;B14,"Error-End date cannot be earlier than Start Date. If Start Date Period 2 is blank, this is because period 1 already covers the whole year period",IF(O14=1,"Error-End Date cannot be 12 months greater than Period 1 Start Date","")))</f>
        <v/>
      </c>
      <c r="J14" s="36"/>
      <c r="K14" s="36"/>
      <c r="L14" s="36"/>
      <c r="M14" s="36"/>
      <c r="N14" s="36"/>
      <c r="O14" s="37">
        <f>IF(C14&gt;EOMONTH($B$11,11),1,0)</f>
        <v>0</v>
      </c>
      <c r="P14" s="62"/>
      <c r="R14" s="63"/>
      <c r="S14" s="63"/>
    </row>
    <row r="15" spans="1:19" ht="35.15" customHeight="1" thickBot="1" x14ac:dyDescent="0.4">
      <c r="A15" s="68" t="s">
        <v>57</v>
      </c>
      <c r="B15" s="32"/>
      <c r="C15" s="32"/>
      <c r="D15" s="41">
        <f>D11+D12+D13+D14</f>
        <v>0</v>
      </c>
      <c r="E15" s="34"/>
      <c r="F15" s="34">
        <f>SUM(F11:F14)</f>
        <v>0</v>
      </c>
      <c r="G15" s="42">
        <f>SUM(G11:G14)</f>
        <v>0</v>
      </c>
      <c r="H15" s="43">
        <f>SUM(H11:H14)</f>
        <v>0</v>
      </c>
      <c r="I15" s="62"/>
      <c r="J15" s="62"/>
      <c r="K15" s="62"/>
      <c r="M15" s="62"/>
      <c r="N15" s="62"/>
      <c r="O15" s="62"/>
      <c r="P15" s="62"/>
      <c r="R15" s="63"/>
      <c r="S15" s="63"/>
    </row>
    <row r="16" spans="1:19" ht="14.5" x14ac:dyDescent="0.35">
      <c r="C16" s="44" cm="1">
        <f t="array" ref="C16">SUMPRODUCT((Leapyears&gt;=B11)*(Leapyears&lt;=C11))+SUMPRODUCT((Leapyears&gt;=B12)*(Leapyears&lt;=C12))+SUMPRODUCT((Leapyears&gt;=B13)*(Leapyears&lt;=C13))+SUMPRODUCT((Leapyears&gt;=B14)*(Leapyears&lt;=C14))</f>
        <v>25</v>
      </c>
      <c r="D16" s="64" t="str">
        <f>IF(ISERR(D15),"Error in dates added - check",IF(AND($C$16&gt;0,D15&lt;=365),"",IF(AND($C$16&gt;0,D15&gt;=366),"Error - Total number of days exceed 1 year",IF(D15&gt;365,"Error - Total number of days exceed 1 year",""))))</f>
        <v/>
      </c>
    </row>
    <row r="17" spans="1:8" ht="6" customHeight="1" x14ac:dyDescent="0.35"/>
    <row r="18" spans="1:8" ht="92.5" x14ac:dyDescent="0.35">
      <c r="A18" s="70" t="s">
        <v>60</v>
      </c>
      <c r="B18" s="71"/>
      <c r="C18" s="6"/>
      <c r="D18" s="63"/>
      <c r="F18" s="47"/>
      <c r="G18" s="65" t="s">
        <v>56</v>
      </c>
      <c r="H18" s="45">
        <f>F15-C18</f>
        <v>0</v>
      </c>
    </row>
    <row r="19" spans="1:8" ht="109.5" customHeight="1" x14ac:dyDescent="0.35">
      <c r="A19" s="72" t="s">
        <v>61</v>
      </c>
      <c r="B19" s="73"/>
      <c r="C19" s="7"/>
      <c r="D19" s="63"/>
      <c r="F19" s="47"/>
      <c r="G19" s="65" t="s">
        <v>15</v>
      </c>
      <c r="H19" s="45">
        <f>G15-C19</f>
        <v>0</v>
      </c>
    </row>
    <row r="20" spans="1:8" ht="15" customHeight="1" x14ac:dyDescent="0.35">
      <c r="H20" s="66"/>
    </row>
    <row r="21" spans="1:8" ht="15" hidden="1" customHeight="1" x14ac:dyDescent="0.35">
      <c r="A21" s="46"/>
      <c r="B21" s="46"/>
      <c r="C21" s="46"/>
      <c r="F21" s="47"/>
    </row>
  </sheetData>
  <sheetProtection algorithmName="SHA-512" hashValue="Eux6XyrC/KlR8k8eEN7Ds8qTGmU6/hdirT5A/I/4C4NQ2IPEuF/vbbdeT5Et0bk04kfYp8sOnuxUb9rG7ajcIQ==" saltValue="dqcKUU2iN28Z8bAjz8CvqA==" spinCount="100000" sheet="1" formatColumns="0" formatRows="0"/>
  <mergeCells count="3">
    <mergeCell ref="L3:P9"/>
    <mergeCell ref="A18:B18"/>
    <mergeCell ref="A19:B19"/>
  </mergeCells>
  <conditionalFormatting sqref="A11:B15 D11:H15 A15:H15">
    <cfRule type="expression" dxfId="7" priority="5">
      <formula>IF(OR(B11="Error",ISERR(B11)),1,0)</formula>
    </cfRule>
  </conditionalFormatting>
  <conditionalFormatting sqref="B11">
    <cfRule type="expression" dxfId="6" priority="1">
      <formula>B4=""</formula>
    </cfRule>
  </conditionalFormatting>
  <conditionalFormatting sqref="D11:D14">
    <cfRule type="expression" dxfId="5" priority="8">
      <formula>IF(D11=0,1,0)</formula>
    </cfRule>
  </conditionalFormatting>
  <conditionalFormatting sqref="D11:D15">
    <cfRule type="expression" dxfId="4" priority="6">
      <formula>IF(LEFT($D$16,5)="Error",1,0)</formula>
    </cfRule>
  </conditionalFormatting>
  <conditionalFormatting sqref="G11:G14">
    <cfRule type="expression" dxfId="3" priority="7">
      <formula>IF(G11=0,1,0)</formula>
    </cfRule>
  </conditionalFormatting>
  <conditionalFormatting sqref="H11:H14">
    <cfRule type="expression" dxfId="2" priority="2">
      <formula>IF(OR(H11="error",ISERR(H11)),1,0)</formula>
    </cfRule>
    <cfRule type="expression" dxfId="1" priority="3">
      <formula>IF(OR(J11="error",ISERR(J11)),1,0)</formula>
    </cfRule>
  </conditionalFormatting>
  <conditionalFormatting sqref="H13">
    <cfRule type="expression" dxfId="0" priority="4">
      <formula>IF(H13=0,1,0)</formula>
    </cfRule>
  </conditionalFormatting>
  <dataValidations count="8">
    <dataValidation type="list" allowBlank="1" showInputMessage="1" showErrorMessage="1" sqref="B5" xr:uid="{00000000-0002-0000-0000-000000000000}">
      <formula1>"Up to 5 years,Over 5 years,Over 10 years,Over 20 years"</formula1>
    </dataValidation>
    <dataValidation type="date" allowBlank="1" showInputMessage="1" showErrorMessage="1" error="Date should be between range 01/01/2000 to 31/12/2099" sqref="B9" xr:uid="{00000000-0002-0000-0000-000001000000}">
      <formula1>36526</formula1>
      <formula2>73050</formula2>
    </dataValidation>
    <dataValidation type="decimal" allowBlank="1" showInputMessage="1" showErrorMessage="1" error="Contract hours cannot exceed 36.5 hours" sqref="E11:E14" xr:uid="{00000000-0002-0000-0000-000003000000}">
      <formula1>0</formula1>
      <formula2>36.5</formula2>
    </dataValidation>
    <dataValidation type="decimal" operator="greaterThanOrEqual" allowBlank="1" showInputMessage="1" showErrorMessage="1" sqref="C18:C19" xr:uid="{00000000-0002-0000-0000-000004000000}">
      <formula1>0</formula1>
    </dataValidation>
    <dataValidation type="date" allowBlank="1" showInputMessage="1" showErrorMessage="1" error="Date should be between range 01/01/2016 to 31/12/2025" sqref="C12:C14" xr:uid="{621EEF74-F752-4C5C-9648-89474F2E9792}">
      <formula1>42370</formula1>
      <formula2>46752</formula2>
    </dataValidation>
    <dataValidation allowBlank="1" showInputMessage="1" showErrorMessage="1" error="Date should be between range 01/01/2016 to 31/12/2025" sqref="C11" xr:uid="{6398E9D0-5ADE-4153-A1E8-9860143E7B84}"/>
    <dataValidation type="date" allowBlank="1" showInputMessage="1" showErrorMessage="1" error="Date should be between range 01/04/2025 to 30/03/2026" sqref="B4" xr:uid="{16502CD7-E4B6-4CC6-8BEC-630235120164}">
      <formula1>45748</formula1>
      <formula2>46111</formula2>
    </dataValidation>
    <dataValidation type="list" allowBlank="1" showInputMessage="1" showErrorMessage="1" sqref="B6" xr:uid="{53BA96F8-3C8E-4A43-ABF2-474B468FFF48}">
      <formula1>"NJC,JNC"</formula1>
    </dataValidation>
  </dataValidations>
  <pageMargins left="0.25" right="0.25" top="0.75" bottom="0.75" header="0.3" footer="0.3"/>
  <pageSetup paperSize="9" scale="61" orientation="landscape" r:id="rId1"/>
  <headerFooter>
    <oddFooter>&amp;C_x000D_&amp;1#&amp;"Calibri"&amp;10&amp;K000000 OFFICIAL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E50C7-1F8B-4010-BEDC-3DC7208C9639}">
  <dimension ref="A1:B5"/>
  <sheetViews>
    <sheetView workbookViewId="0"/>
  </sheetViews>
  <sheetFormatPr defaultRowHeight="14.5" x14ac:dyDescent="0.35"/>
  <cols>
    <col min="1" max="1" width="11.81640625" customWidth="1"/>
  </cols>
  <sheetData>
    <row r="1" spans="1:2" x14ac:dyDescent="0.35">
      <c r="A1" t="s">
        <v>16</v>
      </c>
    </row>
    <row r="2" spans="1:2" x14ac:dyDescent="0.35">
      <c r="A2">
        <v>0.5</v>
      </c>
      <c r="B2" t="s">
        <v>17</v>
      </c>
    </row>
    <row r="3" spans="1:2" x14ac:dyDescent="0.35">
      <c r="A3">
        <v>0.7</v>
      </c>
      <c r="B3" t="s">
        <v>18</v>
      </c>
    </row>
    <row r="4" spans="1:2" x14ac:dyDescent="0.35">
      <c r="A4" t="s">
        <v>19</v>
      </c>
      <c r="B4" t="s">
        <v>20</v>
      </c>
    </row>
    <row r="5" spans="1:2" x14ac:dyDescent="0.35">
      <c r="A5">
        <v>0.8</v>
      </c>
      <c r="B5" t="s">
        <v>21</v>
      </c>
    </row>
  </sheetData>
  <pageMargins left="0.7" right="0.7" top="0.75" bottom="0.75" header="0.3" footer="0.3"/>
  <headerFooter>
    <oddFooter>&amp;C_x000D_&amp;1#&amp;"Calibri"&amp;10&amp;K000000 OFFICIAL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workbookViewId="0"/>
  </sheetViews>
  <sheetFormatPr defaultRowHeight="14.5" x14ac:dyDescent="0.35"/>
  <cols>
    <col min="1" max="1" width="18.1796875" customWidth="1"/>
    <col min="2" max="2" width="10" customWidth="1"/>
    <col min="3" max="3" width="15" customWidth="1"/>
    <col min="5" max="5" width="10.7265625" bestFit="1" customWidth="1"/>
    <col min="10" max="10" width="11.81640625" customWidth="1"/>
    <col min="11" max="11" width="10.453125" bestFit="1" customWidth="1"/>
    <col min="13" max="13" width="10.1796875" customWidth="1"/>
    <col min="16" max="16" width="10.453125" bestFit="1" customWidth="1"/>
    <col min="17" max="17" width="20.1796875" customWidth="1"/>
  </cols>
  <sheetData>
    <row r="1" spans="1:17" x14ac:dyDescent="0.35">
      <c r="A1" s="2" t="s">
        <v>22</v>
      </c>
      <c r="C1" t="s">
        <v>23</v>
      </c>
      <c r="E1" t="s">
        <v>24</v>
      </c>
      <c r="J1" t="s">
        <v>45</v>
      </c>
    </row>
    <row r="2" spans="1:17" x14ac:dyDescent="0.35">
      <c r="A2" s="3">
        <v>42370</v>
      </c>
      <c r="C2" s="1">
        <v>36585</v>
      </c>
      <c r="K2" t="s">
        <v>25</v>
      </c>
      <c r="L2" t="s">
        <v>26</v>
      </c>
      <c r="M2" t="s">
        <v>27</v>
      </c>
      <c r="N2" t="s">
        <v>28</v>
      </c>
      <c r="O2" t="s">
        <v>29</v>
      </c>
      <c r="P2" t="s">
        <v>30</v>
      </c>
      <c r="Q2" t="s">
        <v>31</v>
      </c>
    </row>
    <row r="3" spans="1:17" x14ac:dyDescent="0.35">
      <c r="A3" s="3">
        <v>42454</v>
      </c>
      <c r="C3" s="1">
        <v>38046</v>
      </c>
      <c r="E3" s="1">
        <v>18659</v>
      </c>
      <c r="F3">
        <v>0</v>
      </c>
      <c r="G3">
        <f>(IFERROR(ROUND(F3/7.3,2),0))</f>
        <v>0</v>
      </c>
      <c r="I3" t="s">
        <v>47</v>
      </c>
      <c r="J3" s="20" t="s">
        <v>2</v>
      </c>
      <c r="K3" s="23">
        <v>29</v>
      </c>
      <c r="L3" s="23" t="e">
        <f>K3*N3</f>
        <v>#N/A</v>
      </c>
      <c r="M3" s="21" t="e">
        <f>VLOOKUP('Annual Leave Calculator'!B4,AdditionalAnnualLeave,3,1)</f>
        <v>#N/A</v>
      </c>
      <c r="N3" s="21" t="e">
        <f>VLOOKUP('Annual Leave Calculator'!B4,AdditionalAnnualLeave,2,1)</f>
        <v>#N/A</v>
      </c>
      <c r="O3" s="22" t="e">
        <f>ROUND(SUM(K3,M3),2)</f>
        <v>#N/A</v>
      </c>
      <c r="P3" s="22" t="e">
        <f>ROUND(SUM(L3,N3),2)</f>
        <v>#N/A</v>
      </c>
      <c r="Q3" s="24" t="e">
        <f>TEXT(O3,"#0.00")&amp; " days or "&amp;TEXT(P3,"#0.00")&amp;" Hours"</f>
        <v>#N/A</v>
      </c>
    </row>
    <row r="4" spans="1:17" x14ac:dyDescent="0.35">
      <c r="A4" s="3">
        <v>42457</v>
      </c>
      <c r="C4" s="1">
        <v>39507</v>
      </c>
      <c r="E4" s="1">
        <v>44682</v>
      </c>
      <c r="F4">
        <f>ROUND(0.608333333333333,2)</f>
        <v>0.61</v>
      </c>
      <c r="G4">
        <f t="shared" ref="G4:G14" si="0">(IFERROR(ROUND(F4/7.3,2),0))</f>
        <v>0.08</v>
      </c>
      <c r="I4" t="s">
        <v>48</v>
      </c>
      <c r="J4" s="20" t="s">
        <v>32</v>
      </c>
      <c r="K4" s="23">
        <v>32</v>
      </c>
      <c r="L4" s="23" t="e">
        <f>K4*N4</f>
        <v>#N/A</v>
      </c>
      <c r="M4" s="21" t="e">
        <f>VLOOKUP('Annual Leave Calculator'!B4,AdditionalAnnualLeave,3,1)</f>
        <v>#N/A</v>
      </c>
      <c r="N4" s="21" t="e">
        <f>VLOOKUP('Annual Leave Calculator'!B4,AdditionalAnnualLeave,2,1)</f>
        <v>#N/A</v>
      </c>
      <c r="O4" s="22" t="e">
        <f>ROUND(SUM(K4,M4),2)</f>
        <v>#N/A</v>
      </c>
      <c r="P4" s="22" t="e">
        <f t="shared" ref="P4:P5" si="1">ROUND(SUM(L4,N4),2)</f>
        <v>#N/A</v>
      </c>
      <c r="Q4" s="24" t="e">
        <f t="shared" ref="Q4:Q5" si="2">TEXT(O4,"#0.00")&amp; " days or "&amp;TEXT(P4,"#0.00")&amp;" Hours"</f>
        <v>#N/A</v>
      </c>
    </row>
    <row r="5" spans="1:17" x14ac:dyDescent="0.35">
      <c r="A5" s="3">
        <v>42584</v>
      </c>
      <c r="C5" s="1">
        <v>40968</v>
      </c>
      <c r="E5" s="1">
        <v>44713</v>
      </c>
      <c r="F5">
        <f>ROUND(1.21666666666667,2)</f>
        <v>1.22</v>
      </c>
      <c r="G5">
        <f t="shared" si="0"/>
        <v>0.17</v>
      </c>
      <c r="I5" t="s">
        <v>49</v>
      </c>
      <c r="J5" s="20" t="s">
        <v>33</v>
      </c>
      <c r="K5" s="23">
        <v>34</v>
      </c>
      <c r="L5" s="23" t="e">
        <f>K5*N5</f>
        <v>#N/A</v>
      </c>
      <c r="M5" s="21" t="e">
        <f>VLOOKUP('Annual Leave Calculator'!B4,AdditionalAnnualLeave,3,1)</f>
        <v>#N/A</v>
      </c>
      <c r="N5" s="21" t="e">
        <f>VLOOKUP('Annual Leave Calculator'!B4,AdditionalAnnualLeave,2,1)</f>
        <v>#N/A</v>
      </c>
      <c r="O5" s="22" t="e">
        <f>ROUND(SUM(K5,M5),2)</f>
        <v>#N/A</v>
      </c>
      <c r="P5" s="22" t="e">
        <f t="shared" si="1"/>
        <v>#N/A</v>
      </c>
      <c r="Q5" s="24" t="e">
        <f t="shared" si="2"/>
        <v>#N/A</v>
      </c>
    </row>
    <row r="6" spans="1:17" x14ac:dyDescent="0.35">
      <c r="A6" s="3">
        <v>42612</v>
      </c>
      <c r="C6" s="1">
        <v>42429</v>
      </c>
      <c r="E6" s="1">
        <v>44743</v>
      </c>
      <c r="F6">
        <f>ROUND(1.825,2)</f>
        <v>1.83</v>
      </c>
      <c r="G6">
        <f t="shared" si="0"/>
        <v>0.25</v>
      </c>
      <c r="I6" t="s">
        <v>54</v>
      </c>
      <c r="J6" s="20" t="s">
        <v>43</v>
      </c>
      <c r="K6" s="23">
        <v>34</v>
      </c>
      <c r="L6" s="23" t="e">
        <f>K6*N6</f>
        <v>#N/A</v>
      </c>
      <c r="M6" s="21" t="e">
        <f>VLOOKUP('Annual Leave Calculator'!B4,AdditionalAnnualLeave,3,1)</f>
        <v>#N/A</v>
      </c>
      <c r="N6" s="21" t="e">
        <f>VLOOKUP('Annual Leave Calculator'!B4,AdditionalAnnualLeave,2,1)</f>
        <v>#N/A</v>
      </c>
      <c r="O6" s="22" t="e">
        <f>ROUND(SUM(K6,M6),2)</f>
        <v>#N/A</v>
      </c>
      <c r="P6" s="22" t="e">
        <f t="shared" ref="P6" si="3">ROUND(SUM(L6,N6),2)</f>
        <v>#N/A</v>
      </c>
      <c r="Q6" s="24" t="e">
        <f t="shared" ref="Q6" si="4">TEXT(O6,"#0.00")&amp; " days or "&amp;TEXT(P6,"#0.00")&amp;" Hours"</f>
        <v>#N/A</v>
      </c>
    </row>
    <row r="7" spans="1:17" x14ac:dyDescent="0.35">
      <c r="A7" s="3">
        <v>42611</v>
      </c>
      <c r="C7" s="1">
        <v>43890</v>
      </c>
      <c r="E7" s="1">
        <v>44774</v>
      </c>
      <c r="F7">
        <f>ROUND(2.43333333333333,2)</f>
        <v>2.4300000000000002</v>
      </c>
      <c r="G7">
        <f t="shared" si="0"/>
        <v>0.33</v>
      </c>
    </row>
    <row r="8" spans="1:17" x14ac:dyDescent="0.35">
      <c r="A8" s="3">
        <v>42730</v>
      </c>
      <c r="C8" s="1">
        <v>45351</v>
      </c>
      <c r="E8" s="1">
        <v>44805</v>
      </c>
      <c r="F8">
        <f>ROUND(3.04166666666667,2)</f>
        <v>3.04</v>
      </c>
      <c r="G8">
        <f t="shared" si="0"/>
        <v>0.42</v>
      </c>
    </row>
    <row r="9" spans="1:17" x14ac:dyDescent="0.35">
      <c r="A9" s="3">
        <v>42731</v>
      </c>
      <c r="C9" s="1">
        <v>46812</v>
      </c>
      <c r="E9" s="1">
        <v>44835</v>
      </c>
      <c r="F9">
        <f>ROUND(3.65,2)</f>
        <v>3.65</v>
      </c>
      <c r="G9">
        <f t="shared" si="0"/>
        <v>0.5</v>
      </c>
      <c r="J9" t="s">
        <v>46</v>
      </c>
    </row>
    <row r="10" spans="1:17" x14ac:dyDescent="0.35">
      <c r="A10" s="3">
        <v>42737</v>
      </c>
      <c r="C10" s="1">
        <v>48273</v>
      </c>
      <c r="E10" s="1">
        <v>44866</v>
      </c>
      <c r="F10">
        <f>ROUND(4.25833333333333,2)</f>
        <v>4.26</v>
      </c>
      <c r="G10">
        <f t="shared" si="0"/>
        <v>0.57999999999999996</v>
      </c>
      <c r="K10" t="s">
        <v>25</v>
      </c>
      <c r="L10" t="s">
        <v>26</v>
      </c>
      <c r="M10" t="s">
        <v>27</v>
      </c>
      <c r="N10" t="s">
        <v>28</v>
      </c>
      <c r="O10" t="s">
        <v>29</v>
      </c>
      <c r="P10" t="s">
        <v>30</v>
      </c>
      <c r="Q10" t="s">
        <v>31</v>
      </c>
    </row>
    <row r="11" spans="1:17" x14ac:dyDescent="0.35">
      <c r="A11" s="3">
        <v>42839</v>
      </c>
      <c r="C11" s="1">
        <v>49734</v>
      </c>
      <c r="E11" s="1">
        <v>44896</v>
      </c>
      <c r="F11">
        <f>ROUND(4.86666666666667,2)</f>
        <v>4.87</v>
      </c>
      <c r="G11">
        <f t="shared" si="0"/>
        <v>0.67</v>
      </c>
      <c r="I11" t="s">
        <v>50</v>
      </c>
      <c r="J11" s="20" t="s">
        <v>2</v>
      </c>
      <c r="K11" s="23">
        <v>28</v>
      </c>
      <c r="L11" s="23" t="e">
        <f>K11*N11</f>
        <v>#N/A</v>
      </c>
      <c r="M11" s="21" t="e">
        <f>VLOOKUP('Annual Leave Calculator'!B4,AdditionalAnnualLeave,3,1)</f>
        <v>#N/A</v>
      </c>
      <c r="N11" s="21" t="e">
        <f>VLOOKUP('Annual Leave Calculator'!B4,AdditionalAnnualLeave,2,1)</f>
        <v>#N/A</v>
      </c>
      <c r="O11" s="22" t="e">
        <f>ROUND(SUM(K11,M11),2)</f>
        <v>#N/A</v>
      </c>
      <c r="P11" s="22" t="e">
        <f>ROUND(SUM(L11,N11),2)</f>
        <v>#N/A</v>
      </c>
      <c r="Q11" s="24" t="e">
        <f>TEXT(O11,"#0.00")&amp; " days or "&amp;TEXT(P11,"#0.00")&amp;" Hours"</f>
        <v>#N/A</v>
      </c>
    </row>
    <row r="12" spans="1:17" x14ac:dyDescent="0.35">
      <c r="A12" s="3">
        <v>42842</v>
      </c>
      <c r="C12" s="1">
        <v>51195</v>
      </c>
      <c r="E12" s="1">
        <v>44927</v>
      </c>
      <c r="F12">
        <f>ROUND(5.475,2)</f>
        <v>5.48</v>
      </c>
      <c r="G12">
        <f t="shared" si="0"/>
        <v>0.75</v>
      </c>
      <c r="I12" t="s">
        <v>51</v>
      </c>
      <c r="J12" s="20" t="s">
        <v>32</v>
      </c>
      <c r="K12" s="23">
        <v>32</v>
      </c>
      <c r="L12" s="23" t="e">
        <f>K12*N12</f>
        <v>#N/A</v>
      </c>
      <c r="M12" s="21" t="e">
        <f>VLOOKUP('Annual Leave Calculator'!B4,AdditionalAnnualLeave,3,1)</f>
        <v>#N/A</v>
      </c>
      <c r="N12" s="21" t="e">
        <f>VLOOKUP('Annual Leave Calculator'!B4,AdditionalAnnualLeave,2,1)</f>
        <v>#N/A</v>
      </c>
      <c r="O12" s="22" t="e">
        <f>ROUND(SUM(K12,M12),2)</f>
        <v>#N/A</v>
      </c>
      <c r="P12" s="22" t="e">
        <f t="shared" ref="P12:P13" si="5">ROUND(SUM(L12,N12),2)</f>
        <v>#N/A</v>
      </c>
      <c r="Q12" s="24" t="e">
        <f t="shared" ref="Q12:Q13" si="6">TEXT(O12,"#0.00")&amp; " days or "&amp;TEXT(P12,"#0.00")&amp;" Hours"</f>
        <v>#N/A</v>
      </c>
    </row>
    <row r="13" spans="1:17" x14ac:dyDescent="0.35">
      <c r="A13" s="3">
        <v>42856</v>
      </c>
      <c r="C13" s="1">
        <v>52656</v>
      </c>
      <c r="E13" s="1">
        <v>44958</v>
      </c>
      <c r="F13">
        <f>ROUND(6.08333333333333,2)</f>
        <v>6.08</v>
      </c>
      <c r="G13">
        <f t="shared" si="0"/>
        <v>0.83</v>
      </c>
      <c r="I13" t="s">
        <v>52</v>
      </c>
      <c r="J13" s="20" t="s">
        <v>33</v>
      </c>
      <c r="K13" s="23">
        <v>33</v>
      </c>
      <c r="L13" s="23" t="e">
        <f>K13*N13</f>
        <v>#N/A</v>
      </c>
      <c r="M13" s="21" t="e">
        <f>VLOOKUP('Annual Leave Calculator'!B4,AdditionalAnnualLeave,3,1)</f>
        <v>#N/A</v>
      </c>
      <c r="N13" s="21" t="e">
        <f>VLOOKUP('Annual Leave Calculator'!B4,AdditionalAnnualLeave,2,1)</f>
        <v>#N/A</v>
      </c>
      <c r="O13" s="22" t="e">
        <f>ROUND(SUM(K13,M13),2)</f>
        <v>#N/A</v>
      </c>
      <c r="P13" s="22" t="e">
        <f t="shared" si="5"/>
        <v>#N/A</v>
      </c>
      <c r="Q13" s="24" t="e">
        <f t="shared" si="6"/>
        <v>#N/A</v>
      </c>
    </row>
    <row r="14" spans="1:17" x14ac:dyDescent="0.35">
      <c r="A14" s="3">
        <v>42884</v>
      </c>
      <c r="C14" s="1">
        <v>54117</v>
      </c>
      <c r="E14" s="1">
        <v>44986</v>
      </c>
      <c r="F14">
        <f>ROUND(6.69166666666667,2)</f>
        <v>6.69</v>
      </c>
      <c r="G14">
        <f t="shared" si="0"/>
        <v>0.92</v>
      </c>
      <c r="I14" t="s">
        <v>53</v>
      </c>
      <c r="J14" s="20" t="s">
        <v>43</v>
      </c>
      <c r="K14" s="23">
        <v>34</v>
      </c>
      <c r="L14" s="23" t="e">
        <f>K14*N14</f>
        <v>#N/A</v>
      </c>
      <c r="M14" s="21" t="e">
        <f>VLOOKUP('Annual Leave Calculator'!B4,AdditionalAnnualLeave,3,1)</f>
        <v>#N/A</v>
      </c>
      <c r="N14" s="21" t="e">
        <f>VLOOKUP('Annual Leave Calculator'!B4,AdditionalAnnualLeave,2,1)</f>
        <v>#N/A</v>
      </c>
      <c r="O14" s="22" t="e">
        <f>ROUND(SUM(K14,M14),2)</f>
        <v>#N/A</v>
      </c>
      <c r="P14" s="22" t="e">
        <f t="shared" ref="P14" si="7">ROUND(SUM(L14,N14),2)</f>
        <v>#N/A</v>
      </c>
      <c r="Q14" s="24" t="e">
        <f t="shared" ref="Q14" si="8">TEXT(O14,"#0.00")&amp; " days or "&amp;TEXT(P14,"#0.00")&amp;" Hours"</f>
        <v>#N/A</v>
      </c>
    </row>
    <row r="15" spans="1:17" x14ac:dyDescent="0.35">
      <c r="A15" s="3">
        <v>42975</v>
      </c>
      <c r="C15" s="1">
        <v>55578</v>
      </c>
      <c r="E15" s="1">
        <v>45017</v>
      </c>
      <c r="F15">
        <v>7.3</v>
      </c>
      <c r="G15">
        <f>(IFERROR(ROUND(F15/7.3,2),0))</f>
        <v>1</v>
      </c>
    </row>
    <row r="16" spans="1:17" x14ac:dyDescent="0.35">
      <c r="A16" s="3">
        <v>43094</v>
      </c>
      <c r="C16" s="1">
        <v>57039</v>
      </c>
      <c r="E16" s="18" t="s">
        <v>34</v>
      </c>
    </row>
    <row r="17" spans="1:5" x14ac:dyDescent="0.35">
      <c r="A17" s="3">
        <v>43095</v>
      </c>
      <c r="C17" s="1">
        <v>58500</v>
      </c>
    </row>
    <row r="18" spans="1:5" x14ac:dyDescent="0.35">
      <c r="A18" s="3">
        <v>43101</v>
      </c>
      <c r="C18" s="1">
        <v>59961</v>
      </c>
      <c r="E18" s="19">
        <v>45016</v>
      </c>
    </row>
    <row r="19" spans="1:5" x14ac:dyDescent="0.35">
      <c r="A19" s="3">
        <v>43189</v>
      </c>
      <c r="C19" s="1">
        <v>61422</v>
      </c>
      <c r="E19">
        <f>VLOOKUP(E18,$E$3:$G$15,2,TRUE)</f>
        <v>6.69</v>
      </c>
    </row>
    <row r="20" spans="1:5" x14ac:dyDescent="0.35">
      <c r="A20" s="3">
        <v>43192</v>
      </c>
      <c r="C20" s="1">
        <v>62883</v>
      </c>
    </row>
    <row r="21" spans="1:5" x14ac:dyDescent="0.35">
      <c r="A21" s="3">
        <v>43227</v>
      </c>
      <c r="C21" s="1">
        <v>64344</v>
      </c>
    </row>
    <row r="22" spans="1:5" x14ac:dyDescent="0.35">
      <c r="A22" s="3">
        <v>43248</v>
      </c>
      <c r="C22" s="1">
        <v>65805</v>
      </c>
    </row>
    <row r="23" spans="1:5" x14ac:dyDescent="0.35">
      <c r="A23" s="3">
        <v>43339</v>
      </c>
      <c r="C23" s="1">
        <v>67266</v>
      </c>
    </row>
    <row r="24" spans="1:5" x14ac:dyDescent="0.35">
      <c r="A24" s="3">
        <v>43459</v>
      </c>
      <c r="C24" s="1">
        <v>68727</v>
      </c>
    </row>
    <row r="25" spans="1:5" x14ac:dyDescent="0.35">
      <c r="A25" s="3">
        <v>43460</v>
      </c>
      <c r="C25" s="1">
        <v>70188</v>
      </c>
    </row>
    <row r="26" spans="1:5" x14ac:dyDescent="0.35">
      <c r="A26" s="3">
        <v>43466</v>
      </c>
      <c r="C26" s="1">
        <v>71649</v>
      </c>
    </row>
    <row r="27" spans="1:5" x14ac:dyDescent="0.35">
      <c r="A27" s="3">
        <v>43574</v>
      </c>
    </row>
    <row r="28" spans="1:5" x14ac:dyDescent="0.35">
      <c r="A28" s="3">
        <v>43577</v>
      </c>
    </row>
    <row r="29" spans="1:5" x14ac:dyDescent="0.35">
      <c r="A29" s="3">
        <v>43591</v>
      </c>
    </row>
    <row r="30" spans="1:5" x14ac:dyDescent="0.35">
      <c r="A30" s="3">
        <v>43612</v>
      </c>
    </row>
    <row r="31" spans="1:5" x14ac:dyDescent="0.35">
      <c r="A31" s="3">
        <v>43703</v>
      </c>
    </row>
    <row r="32" spans="1:5" x14ac:dyDescent="0.35">
      <c r="A32" s="3">
        <v>43824</v>
      </c>
    </row>
    <row r="33" spans="1:1" x14ac:dyDescent="0.35">
      <c r="A33" s="3">
        <v>43825</v>
      </c>
    </row>
    <row r="34" spans="1:1" x14ac:dyDescent="0.35">
      <c r="A34" s="3">
        <v>43831</v>
      </c>
    </row>
    <row r="35" spans="1:1" x14ac:dyDescent="0.35">
      <c r="A35" s="3">
        <v>43931</v>
      </c>
    </row>
    <row r="36" spans="1:1" x14ac:dyDescent="0.35">
      <c r="A36" s="3">
        <v>43934</v>
      </c>
    </row>
    <row r="37" spans="1:1" x14ac:dyDescent="0.35">
      <c r="A37" s="3">
        <v>43955</v>
      </c>
    </row>
    <row r="38" spans="1:1" x14ac:dyDescent="0.35">
      <c r="A38" s="3">
        <v>43976</v>
      </c>
    </row>
    <row r="39" spans="1:1" x14ac:dyDescent="0.35">
      <c r="A39" s="3">
        <v>44074</v>
      </c>
    </row>
    <row r="40" spans="1:1" x14ac:dyDescent="0.35">
      <c r="A40" s="3">
        <v>44190</v>
      </c>
    </row>
    <row r="41" spans="1:1" x14ac:dyDescent="0.35">
      <c r="A41" s="3">
        <v>44193</v>
      </c>
    </row>
    <row r="42" spans="1:1" x14ac:dyDescent="0.35">
      <c r="A42" s="3">
        <v>44197</v>
      </c>
    </row>
    <row r="43" spans="1:1" x14ac:dyDescent="0.35">
      <c r="A43" s="3">
        <v>44288</v>
      </c>
    </row>
    <row r="44" spans="1:1" x14ac:dyDescent="0.35">
      <c r="A44" s="3">
        <v>44291</v>
      </c>
    </row>
    <row r="45" spans="1:1" x14ac:dyDescent="0.35">
      <c r="A45" s="3">
        <v>44319</v>
      </c>
    </row>
    <row r="46" spans="1:1" x14ac:dyDescent="0.35">
      <c r="A46" s="3">
        <v>44347</v>
      </c>
    </row>
    <row r="47" spans="1:1" x14ac:dyDescent="0.35">
      <c r="A47" s="3">
        <v>44438</v>
      </c>
    </row>
    <row r="48" spans="1:1" x14ac:dyDescent="0.35">
      <c r="A48" s="3">
        <v>44557</v>
      </c>
    </row>
    <row r="49" spans="1:1" x14ac:dyDescent="0.35">
      <c r="A49" s="3">
        <v>44558</v>
      </c>
    </row>
    <row r="50" spans="1:1" x14ac:dyDescent="0.35">
      <c r="A50" s="3">
        <v>44564</v>
      </c>
    </row>
    <row r="51" spans="1:1" x14ac:dyDescent="0.35">
      <c r="A51" s="3">
        <v>44666</v>
      </c>
    </row>
    <row r="52" spans="1:1" x14ac:dyDescent="0.35">
      <c r="A52" s="3">
        <v>44669</v>
      </c>
    </row>
    <row r="53" spans="1:1" x14ac:dyDescent="0.35">
      <c r="A53" s="3">
        <v>44683</v>
      </c>
    </row>
    <row r="54" spans="1:1" x14ac:dyDescent="0.35">
      <c r="A54" s="3">
        <v>44714</v>
      </c>
    </row>
    <row r="55" spans="1:1" x14ac:dyDescent="0.35">
      <c r="A55" s="1">
        <v>44715</v>
      </c>
    </row>
    <row r="56" spans="1:1" x14ac:dyDescent="0.35">
      <c r="A56" s="3">
        <v>44802</v>
      </c>
    </row>
    <row r="57" spans="1:1" x14ac:dyDescent="0.35">
      <c r="A57" s="3">
        <v>44921</v>
      </c>
    </row>
    <row r="58" spans="1:1" x14ac:dyDescent="0.35">
      <c r="A58" s="3">
        <v>44922</v>
      </c>
    </row>
    <row r="59" spans="1:1" x14ac:dyDescent="0.35">
      <c r="A59" s="3">
        <v>44928</v>
      </c>
    </row>
    <row r="60" spans="1:1" x14ac:dyDescent="0.35">
      <c r="A60" s="3">
        <v>45023</v>
      </c>
    </row>
    <row r="61" spans="1:1" x14ac:dyDescent="0.35">
      <c r="A61" s="3">
        <v>45026</v>
      </c>
    </row>
    <row r="62" spans="1:1" x14ac:dyDescent="0.35">
      <c r="A62" s="3">
        <v>45047</v>
      </c>
    </row>
    <row r="63" spans="1:1" x14ac:dyDescent="0.35">
      <c r="A63" s="3">
        <v>45054</v>
      </c>
    </row>
    <row r="64" spans="1:1" x14ac:dyDescent="0.35">
      <c r="A64" s="3">
        <v>45075</v>
      </c>
    </row>
    <row r="65" spans="1:1" x14ac:dyDescent="0.35">
      <c r="A65" s="3">
        <v>45166</v>
      </c>
    </row>
    <row r="66" spans="1:1" x14ac:dyDescent="0.35">
      <c r="A66" s="3">
        <v>45285</v>
      </c>
    </row>
    <row r="67" spans="1:1" x14ac:dyDescent="0.35">
      <c r="A67" s="3">
        <v>45286</v>
      </c>
    </row>
    <row r="68" spans="1:1" x14ac:dyDescent="0.35">
      <c r="A68" s="3">
        <v>45292</v>
      </c>
    </row>
    <row r="69" spans="1:1" x14ac:dyDescent="0.35">
      <c r="A69" s="3">
        <v>45380</v>
      </c>
    </row>
    <row r="70" spans="1:1" x14ac:dyDescent="0.35">
      <c r="A70" s="3">
        <v>45383</v>
      </c>
    </row>
    <row r="71" spans="1:1" x14ac:dyDescent="0.35">
      <c r="A71" s="3">
        <v>45418</v>
      </c>
    </row>
    <row r="72" spans="1:1" x14ac:dyDescent="0.35">
      <c r="A72" s="3">
        <v>45439</v>
      </c>
    </row>
    <row r="73" spans="1:1" x14ac:dyDescent="0.35">
      <c r="A73" s="3">
        <v>45530</v>
      </c>
    </row>
    <row r="74" spans="1:1" x14ac:dyDescent="0.35">
      <c r="A74" s="3">
        <v>45651</v>
      </c>
    </row>
    <row r="75" spans="1:1" x14ac:dyDescent="0.35">
      <c r="A75" s="3">
        <v>45652</v>
      </c>
    </row>
    <row r="76" spans="1:1" x14ac:dyDescent="0.35">
      <c r="A76" s="3">
        <v>45658</v>
      </c>
    </row>
    <row r="77" spans="1:1" x14ac:dyDescent="0.35">
      <c r="A77" s="3">
        <v>45765</v>
      </c>
    </row>
    <row r="78" spans="1:1" x14ac:dyDescent="0.35">
      <c r="A78" s="3">
        <v>45768</v>
      </c>
    </row>
    <row r="79" spans="1:1" x14ac:dyDescent="0.35">
      <c r="A79" s="3">
        <v>45782</v>
      </c>
    </row>
    <row r="80" spans="1:1" x14ac:dyDescent="0.35">
      <c r="A80" s="3">
        <v>45803</v>
      </c>
    </row>
    <row r="81" spans="1:1" x14ac:dyDescent="0.35">
      <c r="A81" s="3">
        <v>45894</v>
      </c>
    </row>
    <row r="82" spans="1:1" x14ac:dyDescent="0.35">
      <c r="A82" s="3">
        <v>46016</v>
      </c>
    </row>
    <row r="83" spans="1:1" x14ac:dyDescent="0.35">
      <c r="A83" s="3">
        <v>46017</v>
      </c>
    </row>
    <row r="84" spans="1:1" x14ac:dyDescent="0.35">
      <c r="A84" s="3">
        <v>46023</v>
      </c>
    </row>
    <row r="85" spans="1:1" x14ac:dyDescent="0.35">
      <c r="A85" s="3">
        <v>46115</v>
      </c>
    </row>
    <row r="86" spans="1:1" x14ac:dyDescent="0.35">
      <c r="A86" s="3">
        <v>46118</v>
      </c>
    </row>
    <row r="87" spans="1:1" x14ac:dyDescent="0.35">
      <c r="A87" s="3">
        <v>46146</v>
      </c>
    </row>
    <row r="88" spans="1:1" x14ac:dyDescent="0.35">
      <c r="A88" s="3">
        <v>46259</v>
      </c>
    </row>
    <row r="89" spans="1:1" x14ac:dyDescent="0.35">
      <c r="A89" s="3">
        <v>46265</v>
      </c>
    </row>
    <row r="90" spans="1:1" x14ac:dyDescent="0.35">
      <c r="A90" s="3">
        <v>46381</v>
      </c>
    </row>
    <row r="91" spans="1:1" x14ac:dyDescent="0.35">
      <c r="A91" s="3">
        <v>46384</v>
      </c>
    </row>
    <row r="92" spans="1:1" x14ac:dyDescent="0.35">
      <c r="A92" s="3">
        <v>46388</v>
      </c>
    </row>
    <row r="93" spans="1:1" x14ac:dyDescent="0.35">
      <c r="A93" s="3">
        <v>46472</v>
      </c>
    </row>
    <row r="94" spans="1:1" x14ac:dyDescent="0.35">
      <c r="A94" s="3">
        <v>46475</v>
      </c>
    </row>
    <row r="95" spans="1:1" x14ac:dyDescent="0.35">
      <c r="A95" s="3">
        <v>46510</v>
      </c>
    </row>
    <row r="96" spans="1:1" x14ac:dyDescent="0.35">
      <c r="A96" s="3">
        <v>46538</v>
      </c>
    </row>
    <row r="97" spans="1:1" x14ac:dyDescent="0.35">
      <c r="A97" s="3">
        <v>46629</v>
      </c>
    </row>
    <row r="98" spans="1:1" x14ac:dyDescent="0.35">
      <c r="A98" s="3">
        <v>46748</v>
      </c>
    </row>
    <row r="99" spans="1:1" x14ac:dyDescent="0.35">
      <c r="A99" s="3">
        <v>46749</v>
      </c>
    </row>
    <row r="100" spans="1:1" x14ac:dyDescent="0.35">
      <c r="A100" s="3">
        <v>46755</v>
      </c>
    </row>
    <row r="101" spans="1:1" x14ac:dyDescent="0.35">
      <c r="A101" s="3">
        <v>46857</v>
      </c>
    </row>
    <row r="102" spans="1:1" x14ac:dyDescent="0.35">
      <c r="A102" s="3">
        <v>46860</v>
      </c>
    </row>
    <row r="103" spans="1:1" x14ac:dyDescent="0.35">
      <c r="A103" s="3">
        <v>46874</v>
      </c>
    </row>
    <row r="104" spans="1:1" x14ac:dyDescent="0.35">
      <c r="A104" s="3">
        <v>46902</v>
      </c>
    </row>
    <row r="105" spans="1:1" x14ac:dyDescent="0.35">
      <c r="A105" s="3">
        <v>46993</v>
      </c>
    </row>
    <row r="106" spans="1:1" x14ac:dyDescent="0.35">
      <c r="A106" s="3">
        <v>47112</v>
      </c>
    </row>
    <row r="107" spans="1:1" x14ac:dyDescent="0.35">
      <c r="A107" s="3">
        <v>47113</v>
      </c>
    </row>
    <row r="108" spans="1:1" x14ac:dyDescent="0.35">
      <c r="A108" s="3">
        <v>47119</v>
      </c>
    </row>
    <row r="109" spans="1:1" x14ac:dyDescent="0.35">
      <c r="A109" s="3">
        <v>47207</v>
      </c>
    </row>
    <row r="110" spans="1:1" x14ac:dyDescent="0.35">
      <c r="A110" s="3">
        <v>47210</v>
      </c>
    </row>
    <row r="111" spans="1:1" x14ac:dyDescent="0.35">
      <c r="A111" s="3">
        <v>47245</v>
      </c>
    </row>
    <row r="112" spans="1:1" x14ac:dyDescent="0.35">
      <c r="A112" s="3">
        <v>47266</v>
      </c>
    </row>
    <row r="113" spans="1:1" x14ac:dyDescent="0.35">
      <c r="A113" s="3">
        <v>47357</v>
      </c>
    </row>
    <row r="114" spans="1:1" x14ac:dyDescent="0.35">
      <c r="A114" s="3">
        <v>47477</v>
      </c>
    </row>
    <row r="115" spans="1:1" x14ac:dyDescent="0.35">
      <c r="A115" s="3">
        <v>47478</v>
      </c>
    </row>
    <row r="116" spans="1:1" x14ac:dyDescent="0.35">
      <c r="A116" s="3">
        <v>47484</v>
      </c>
    </row>
    <row r="117" spans="1:1" x14ac:dyDescent="0.35">
      <c r="A117" s="3">
        <v>47592</v>
      </c>
    </row>
    <row r="118" spans="1:1" x14ac:dyDescent="0.35">
      <c r="A118" s="3">
        <v>47595</v>
      </c>
    </row>
    <row r="119" spans="1:1" x14ac:dyDescent="0.35">
      <c r="A119" s="3">
        <v>47609</v>
      </c>
    </row>
    <row r="120" spans="1:1" x14ac:dyDescent="0.35">
      <c r="A120" s="3">
        <v>47630</v>
      </c>
    </row>
    <row r="121" spans="1:1" x14ac:dyDescent="0.35">
      <c r="A121" s="3">
        <v>47721</v>
      </c>
    </row>
    <row r="122" spans="1:1" x14ac:dyDescent="0.35">
      <c r="A122" s="3">
        <v>47842</v>
      </c>
    </row>
    <row r="123" spans="1:1" x14ac:dyDescent="0.35">
      <c r="A123" s="3">
        <v>47843</v>
      </c>
    </row>
    <row r="124" spans="1:1" x14ac:dyDescent="0.35">
      <c r="A124" s="2"/>
    </row>
    <row r="125" spans="1:1" x14ac:dyDescent="0.35">
      <c r="A125" s="2"/>
    </row>
  </sheetData>
  <pageMargins left="0.7" right="0.7" top="0.75" bottom="0.75" header="0.3" footer="0.3"/>
  <pageSetup paperSize="9" orientation="portrait" horizontalDpi="1200" verticalDpi="1200" r:id="rId1"/>
  <headerFooter>
    <oddFooter>&amp;C_x000D_&amp;1#&amp;"Calibri"&amp;10&amp;K000000 OFFICIAL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AD250-C26D-4CB1-9617-013D07A61853}">
  <dimension ref="A1:G13"/>
  <sheetViews>
    <sheetView topLeftCell="A2" workbookViewId="0">
      <selection activeCell="A2" sqref="A2"/>
    </sheetView>
  </sheetViews>
  <sheetFormatPr defaultRowHeight="14.5" x14ac:dyDescent="0.35"/>
  <cols>
    <col min="1" max="1" width="12.26953125" style="11" customWidth="1"/>
    <col min="2" max="2" width="10.54296875" style="11" customWidth="1"/>
    <col min="3" max="3" width="16.453125" style="11" customWidth="1"/>
    <col min="4" max="4" width="14.453125" style="11" customWidth="1"/>
    <col min="6" max="6" width="35.81640625" customWidth="1"/>
  </cols>
  <sheetData>
    <row r="1" spans="1:7" hidden="1" x14ac:dyDescent="0.35">
      <c r="C1" s="12"/>
      <c r="D1" s="13">
        <v>7.3</v>
      </c>
    </row>
    <row r="2" spans="1:7" ht="58" x14ac:dyDescent="0.35">
      <c r="A2" s="8" t="s">
        <v>35</v>
      </c>
      <c r="B2" s="8" t="s">
        <v>36</v>
      </c>
      <c r="C2" s="9" t="s">
        <v>37</v>
      </c>
      <c r="D2" s="10" t="s">
        <v>38</v>
      </c>
    </row>
    <row r="3" spans="1:7" x14ac:dyDescent="0.35">
      <c r="A3" s="14">
        <v>44682</v>
      </c>
      <c r="B3" s="14">
        <v>45017</v>
      </c>
      <c r="C3" s="12">
        <v>1</v>
      </c>
      <c r="D3" s="15">
        <f t="shared" ref="D3:D13" si="0">($D$1/12)*C3</f>
        <v>0.60833333333333328</v>
      </c>
      <c r="F3" s="17" t="s">
        <v>39</v>
      </c>
    </row>
    <row r="4" spans="1:7" x14ac:dyDescent="0.35">
      <c r="A4" s="14">
        <v>44713</v>
      </c>
      <c r="B4" s="14">
        <v>45047</v>
      </c>
      <c r="C4" s="12">
        <v>2</v>
      </c>
      <c r="D4" s="15">
        <f>($D$1/12)*C4</f>
        <v>1.2166666666666666</v>
      </c>
      <c r="F4" s="16" t="s">
        <v>40</v>
      </c>
      <c r="G4">
        <v>18.25</v>
      </c>
    </row>
    <row r="5" spans="1:7" x14ac:dyDescent="0.35">
      <c r="A5" s="14">
        <v>44743</v>
      </c>
      <c r="B5" s="14">
        <v>45078</v>
      </c>
      <c r="C5" s="12">
        <v>3</v>
      </c>
      <c r="D5" s="15">
        <f t="shared" si="0"/>
        <v>1.8249999999999997</v>
      </c>
      <c r="F5" s="16" t="s">
        <v>41</v>
      </c>
      <c r="G5">
        <v>3.04</v>
      </c>
    </row>
    <row r="6" spans="1:7" x14ac:dyDescent="0.35">
      <c r="A6" s="14">
        <v>44774</v>
      </c>
      <c r="B6" s="14">
        <v>45108</v>
      </c>
      <c r="C6" s="12">
        <v>4</v>
      </c>
      <c r="D6" s="15">
        <f t="shared" si="0"/>
        <v>2.4333333333333331</v>
      </c>
      <c r="F6" s="16" t="s">
        <v>42</v>
      </c>
      <c r="G6">
        <f>(G5/36.5)*G4</f>
        <v>1.52</v>
      </c>
    </row>
    <row r="7" spans="1:7" x14ac:dyDescent="0.35">
      <c r="A7" s="14">
        <v>44805</v>
      </c>
      <c r="B7" s="14">
        <v>45139</v>
      </c>
      <c r="C7" s="12">
        <v>5</v>
      </c>
      <c r="D7" s="15">
        <f t="shared" si="0"/>
        <v>3.0416666666666665</v>
      </c>
    </row>
    <row r="8" spans="1:7" x14ac:dyDescent="0.35">
      <c r="A8" s="14">
        <v>44835</v>
      </c>
      <c r="B8" s="14">
        <v>45170</v>
      </c>
      <c r="C8" s="12">
        <v>6</v>
      </c>
      <c r="D8" s="15">
        <f t="shared" si="0"/>
        <v>3.6499999999999995</v>
      </c>
    </row>
    <row r="9" spans="1:7" x14ac:dyDescent="0.35">
      <c r="A9" s="14">
        <v>44866</v>
      </c>
      <c r="B9" s="14">
        <v>45200</v>
      </c>
      <c r="C9" s="12">
        <v>7</v>
      </c>
      <c r="D9" s="15">
        <f t="shared" si="0"/>
        <v>4.2583333333333329</v>
      </c>
    </row>
    <row r="10" spans="1:7" x14ac:dyDescent="0.35">
      <c r="A10" s="14">
        <v>44896</v>
      </c>
      <c r="B10" s="14">
        <v>45231</v>
      </c>
      <c r="C10" s="12">
        <v>8</v>
      </c>
      <c r="D10" s="15">
        <f t="shared" si="0"/>
        <v>4.8666666666666663</v>
      </c>
    </row>
    <row r="11" spans="1:7" x14ac:dyDescent="0.35">
      <c r="A11" s="14">
        <v>44927</v>
      </c>
      <c r="B11" s="14">
        <v>45261</v>
      </c>
      <c r="C11" s="12">
        <v>9</v>
      </c>
      <c r="D11" s="15">
        <f t="shared" si="0"/>
        <v>5.4749999999999996</v>
      </c>
    </row>
    <row r="12" spans="1:7" x14ac:dyDescent="0.35">
      <c r="A12" s="14">
        <v>44958</v>
      </c>
      <c r="B12" s="14">
        <v>45292</v>
      </c>
      <c r="C12" s="12">
        <v>10</v>
      </c>
      <c r="D12" s="15">
        <f t="shared" si="0"/>
        <v>6.083333333333333</v>
      </c>
    </row>
    <row r="13" spans="1:7" x14ac:dyDescent="0.35">
      <c r="A13" s="14">
        <v>44986</v>
      </c>
      <c r="B13" s="14">
        <v>45323</v>
      </c>
      <c r="C13" s="12">
        <v>11</v>
      </c>
      <c r="D13" s="15">
        <f t="shared" si="0"/>
        <v>6.6916666666666664</v>
      </c>
    </row>
  </sheetData>
  <pageMargins left="0.7" right="0.7" top="0.75" bottom="0.75" header="0.3" footer="0.3"/>
  <pageSetup paperSize="9" orientation="portrait" r:id="rId1"/>
  <headerFooter>
    <oddFooter>&amp;C_x000D_&amp;1#&amp;"Calibri"&amp;10&amp;K000000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3885EFDF36204FB60C9B2072820092" ma:contentTypeVersion="8" ma:contentTypeDescription="Create a new document." ma:contentTypeScope="" ma:versionID="1a4e057411dc7cac528af52a76f65fa2">
  <xsd:schema xmlns:xsd="http://www.w3.org/2001/XMLSchema" xmlns:xs="http://www.w3.org/2001/XMLSchema" xmlns:p="http://schemas.microsoft.com/office/2006/metadata/properties" xmlns:ns2="46dd2e00-8598-48ed-9ab4-d7126c7fad7a" targetNamespace="http://schemas.microsoft.com/office/2006/metadata/properties" ma:root="true" ma:fieldsID="16c26deebdb6845b99cf19de1278c81e" ns2:_="">
    <xsd:import namespace="46dd2e00-8598-48ed-9ab4-d7126c7fad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dd2e00-8598-48ed-9ab4-d7126c7fad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C14853B-4715-4E7A-80FB-0DAA40DA52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DF40B7-FC0F-4EEB-A4C6-A191B7356067}"/>
</file>

<file path=customXml/itemProps3.xml><?xml version="1.0" encoding="utf-8"?>
<ds:datastoreItem xmlns:ds="http://schemas.openxmlformats.org/officeDocument/2006/customXml" ds:itemID="{8B62DD8A-2F83-4167-AFAC-DCE84FBD3816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46dd2e00-8598-48ed-9ab4-d7126c7fad7a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Annual Leave Calculator</vt:lpstr>
      <vt:lpstr>Change History</vt:lpstr>
      <vt:lpstr>Variables</vt:lpstr>
      <vt:lpstr>Additional 7.3 pro rata</vt:lpstr>
      <vt:lpstr>AdditionalAnnualLeave</vt:lpstr>
      <vt:lpstr>BankHolidays</vt:lpstr>
      <vt:lpstr>JNCYearsservicelookup</vt:lpstr>
      <vt:lpstr>Leapyears</vt:lpstr>
      <vt:lpstr>NJCYearsservicelookup</vt:lpstr>
      <vt:lpstr>'Annual Leave Calculator'!Print_Area</vt:lpstr>
    </vt:vector>
  </TitlesOfParts>
  <Manager/>
  <Company>Service Birmingham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Annual leave calculator</dc:title>
  <dc:subject/>
  <dc:creator>Service Birmingham</dc:creator>
  <cp:keywords/>
  <dc:description/>
  <cp:lastModifiedBy>Greg Cartwright</cp:lastModifiedBy>
  <cp:revision/>
  <dcterms:created xsi:type="dcterms:W3CDTF">2017-07-20T11:56:46Z</dcterms:created>
  <dcterms:modified xsi:type="dcterms:W3CDTF">2025-11-06T13:40:39Z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17471b1-27ab-4640-9264-e69a67407ca3_Enabled">
    <vt:lpwstr>true</vt:lpwstr>
  </property>
  <property fmtid="{D5CDD505-2E9C-101B-9397-08002B2CF9AE}" pid="3" name="MSIP_Label_a17471b1-27ab-4640-9264-e69a67407ca3_SetDate">
    <vt:lpwstr>2024-09-05T14:47:30Z</vt:lpwstr>
  </property>
  <property fmtid="{D5CDD505-2E9C-101B-9397-08002B2CF9AE}" pid="4" name="MSIP_Label_a17471b1-27ab-4640-9264-e69a67407ca3_Method">
    <vt:lpwstr>Privileged</vt:lpwstr>
  </property>
  <property fmtid="{D5CDD505-2E9C-101B-9397-08002B2CF9AE}" pid="5" name="MSIP_Label_a17471b1-27ab-4640-9264-e69a67407ca3_Name">
    <vt:lpwstr>BCC - OFFICIAL</vt:lpwstr>
  </property>
  <property fmtid="{D5CDD505-2E9C-101B-9397-08002B2CF9AE}" pid="6" name="MSIP_Label_a17471b1-27ab-4640-9264-e69a67407ca3_SiteId">
    <vt:lpwstr>699ace67-d2e4-4bcd-b303-d2bbe2b9bbf1</vt:lpwstr>
  </property>
  <property fmtid="{D5CDD505-2E9C-101B-9397-08002B2CF9AE}" pid="7" name="MSIP_Label_a17471b1-27ab-4640-9264-e69a67407ca3_ActionId">
    <vt:lpwstr>f207afce-a93c-4031-996a-33add106f979</vt:lpwstr>
  </property>
  <property fmtid="{D5CDD505-2E9C-101B-9397-08002B2CF9AE}" pid="8" name="MSIP_Label_a17471b1-27ab-4640-9264-e69a67407ca3_ContentBits">
    <vt:lpwstr>2</vt:lpwstr>
  </property>
  <property fmtid="{D5CDD505-2E9C-101B-9397-08002B2CF9AE}" pid="9" name="SV_QUERY_LIST_4F35BF76-6C0D-4D9B-82B2-816C12CF3733">
    <vt:lpwstr>empty_477D106A-C0D6-4607-AEBD-E2C9D60EA279</vt:lpwstr>
  </property>
  <property fmtid="{D5CDD505-2E9C-101B-9397-08002B2CF9AE}" pid="10" name="SV_HIDDEN_GRID_QUERY_LIST_4F35BF76-6C0D-4D9B-82B2-816C12CF3733">
    <vt:lpwstr>empty_477D106A-C0D6-4607-AEBD-E2C9D60EA279</vt:lpwstr>
  </property>
  <property fmtid="{D5CDD505-2E9C-101B-9397-08002B2CF9AE}" pid="11" name="CloudStatistics_StoryID">
    <vt:lpwstr>83aec18c-4b0d-45bc-8c80-d36873a73803</vt:lpwstr>
  </property>
  <property fmtid="{D5CDD505-2E9C-101B-9397-08002B2CF9AE}" pid="12" name="ContentTypeId">
    <vt:lpwstr>0x0101004B3885EFDF36204FB60C9B2072820092</vt:lpwstr>
  </property>
</Properties>
</file>